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Сайт\ПРАЙС\"/>
    </mc:Choice>
  </mc:AlternateContent>
  <bookViews>
    <workbookView xWindow="0" yWindow="0" windowWidth="23040" windowHeight="9405" tabRatio="707"/>
  </bookViews>
  <sheets>
    <sheet name="Общий" sheetId="4" r:id="rId1"/>
    <sheet name="Ytong" sheetId="3" r:id="rId2"/>
    <sheet name="El-Block" sheetId="6" r:id="rId3"/>
    <sheet name="ЭКО" sheetId="8" r:id="rId4"/>
    <sheet name="ЕЗСМ" sheetId="17" r:id="rId5"/>
    <sheet name="BRAER" sheetId="9" r:id="rId6"/>
    <sheet name="Wienerberger" sheetId="10" r:id="rId7"/>
    <sheet name="Виниловый сайдинг GL" sheetId="11" r:id="rId8"/>
    <sheet name="Метал. сайдинг GL" sheetId="12" r:id="rId9"/>
    <sheet name="ШФ CERESIT" sheetId="13" r:id="rId10"/>
    <sheet name="ШФ WEBER" sheetId="14" r:id="rId11"/>
    <sheet name="White Hills" sheetId="15" r:id="rId12"/>
    <sheet name="PEREL" sheetId="16" r:id="rId13"/>
  </sheets>
  <calcPr calcId="152511" refMode="R1C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2" i="12" l="1"/>
  <c r="M42" i="12"/>
  <c r="L42" i="12"/>
  <c r="K42" i="12"/>
  <c r="I42" i="12"/>
  <c r="H42" i="12"/>
  <c r="G42" i="12"/>
  <c r="J42" i="12" s="1"/>
  <c r="F42" i="12"/>
  <c r="E42" i="12"/>
  <c r="N41" i="12"/>
  <c r="M41" i="12"/>
  <c r="L41" i="12"/>
  <c r="K41" i="12"/>
  <c r="I41" i="12"/>
  <c r="H41" i="12"/>
  <c r="G41" i="12"/>
  <c r="J41" i="12" s="1"/>
  <c r="F41" i="12"/>
  <c r="E41" i="12"/>
  <c r="N40" i="12"/>
  <c r="M40" i="12"/>
  <c r="L40" i="12"/>
  <c r="K40" i="12"/>
  <c r="I40" i="12"/>
  <c r="H40" i="12"/>
  <c r="G40" i="12"/>
  <c r="J40" i="12" s="1"/>
  <c r="F40" i="12"/>
  <c r="E40" i="12"/>
  <c r="N39" i="12"/>
  <c r="M39" i="12"/>
  <c r="L39" i="12"/>
  <c r="K39" i="12"/>
  <c r="I39" i="12"/>
  <c r="H39" i="12"/>
  <c r="G39" i="12"/>
  <c r="J39" i="12" s="1"/>
  <c r="F39" i="12"/>
  <c r="E39" i="12"/>
  <c r="L37" i="12"/>
  <c r="M37" i="12" s="1"/>
  <c r="K37" i="12"/>
  <c r="H37" i="12"/>
  <c r="G37" i="12"/>
  <c r="J37" i="12" s="1"/>
  <c r="E37" i="12"/>
  <c r="O36" i="12"/>
  <c r="L36" i="12"/>
  <c r="M36" i="12" s="1"/>
  <c r="K36" i="12"/>
  <c r="J36" i="12"/>
  <c r="I36" i="12"/>
  <c r="H36" i="12"/>
  <c r="G36" i="12"/>
  <c r="E36" i="12"/>
  <c r="O35" i="12"/>
  <c r="N35" i="12"/>
  <c r="L35" i="12"/>
  <c r="M35" i="12" s="1"/>
  <c r="K35" i="12"/>
  <c r="J35" i="12"/>
  <c r="I35" i="12"/>
  <c r="H35" i="12"/>
  <c r="G35" i="12"/>
  <c r="E35" i="12"/>
  <c r="O34" i="12"/>
  <c r="N34" i="12"/>
  <c r="L34" i="12"/>
  <c r="M34" i="12" s="1"/>
  <c r="K34" i="12"/>
  <c r="J34" i="12"/>
  <c r="I34" i="12"/>
  <c r="H34" i="12"/>
  <c r="G34" i="12"/>
  <c r="E34" i="12"/>
  <c r="O32" i="12"/>
  <c r="N32" i="12"/>
  <c r="L32" i="12"/>
  <c r="M32" i="12" s="1"/>
  <c r="K32" i="12"/>
  <c r="J32" i="12"/>
  <c r="I32" i="12"/>
  <c r="H32" i="12"/>
  <c r="G32" i="12"/>
  <c r="F32" i="12"/>
  <c r="E32" i="12"/>
  <c r="P31" i="12"/>
  <c r="O31" i="12"/>
  <c r="N31" i="12"/>
  <c r="L31" i="12"/>
  <c r="M31" i="12" s="1"/>
  <c r="K31" i="12"/>
  <c r="J31" i="12"/>
  <c r="I31" i="12"/>
  <c r="H31" i="12"/>
  <c r="G31" i="12"/>
  <c r="F31" i="12"/>
  <c r="E31" i="12"/>
  <c r="P30" i="12"/>
  <c r="O30" i="12"/>
  <c r="N30" i="12"/>
  <c r="L30" i="12"/>
  <c r="M30" i="12" s="1"/>
  <c r="K30" i="12"/>
  <c r="J30" i="12"/>
  <c r="I30" i="12"/>
  <c r="H30" i="12"/>
  <c r="G30" i="12"/>
  <c r="F30" i="12"/>
  <c r="E30" i="12"/>
  <c r="P29" i="12"/>
  <c r="O29" i="12"/>
  <c r="N29" i="12"/>
  <c r="L29" i="12"/>
  <c r="M29" i="12" s="1"/>
  <c r="K29" i="12"/>
  <c r="J29" i="12"/>
  <c r="I29" i="12"/>
  <c r="H29" i="12"/>
  <c r="G29" i="12"/>
  <c r="F29" i="12"/>
  <c r="E29" i="12"/>
  <c r="P28" i="12"/>
  <c r="O28" i="12"/>
  <c r="N28" i="12"/>
  <c r="L28" i="12"/>
  <c r="M28" i="12" s="1"/>
  <c r="K28" i="12"/>
  <c r="J28" i="12"/>
  <c r="I28" i="12"/>
  <c r="H28" i="12"/>
  <c r="G28" i="12"/>
  <c r="F28" i="12"/>
  <c r="E28" i="12"/>
  <c r="P27" i="12"/>
  <c r="O27" i="12"/>
  <c r="N27" i="12"/>
  <c r="L27" i="12"/>
  <c r="M27" i="12" s="1"/>
  <c r="K27" i="12"/>
  <c r="J27" i="12"/>
  <c r="I27" i="12"/>
  <c r="H27" i="12"/>
  <c r="G27" i="12"/>
  <c r="F27" i="12"/>
  <c r="E27" i="12"/>
  <c r="P26" i="12"/>
  <c r="O26" i="12"/>
  <c r="N26" i="12"/>
  <c r="L26" i="12"/>
  <c r="M26" i="12" s="1"/>
  <c r="K26" i="12"/>
  <c r="J26" i="12"/>
  <c r="I26" i="12"/>
  <c r="H26" i="12"/>
  <c r="G26" i="12"/>
  <c r="F26" i="12"/>
  <c r="E26" i="12"/>
  <c r="P25" i="12"/>
  <c r="O25" i="12"/>
  <c r="N25" i="12"/>
  <c r="L25" i="12"/>
  <c r="M25" i="12" s="1"/>
  <c r="K25" i="12"/>
  <c r="J25" i="12"/>
  <c r="I25" i="12"/>
  <c r="H25" i="12"/>
  <c r="G25" i="12"/>
  <c r="F25" i="12"/>
  <c r="E25" i="12"/>
  <c r="P24" i="12"/>
  <c r="O24" i="12"/>
  <c r="N24" i="12"/>
  <c r="L24" i="12"/>
  <c r="M24" i="12" s="1"/>
  <c r="K24" i="12"/>
  <c r="J24" i="12"/>
  <c r="I24" i="12"/>
  <c r="H24" i="12"/>
  <c r="G24" i="12"/>
  <c r="F24" i="12"/>
  <c r="E24" i="12"/>
  <c r="P23" i="12"/>
  <c r="O23" i="12"/>
  <c r="N23" i="12"/>
  <c r="L23" i="12"/>
  <c r="M23" i="12" s="1"/>
  <c r="K23" i="12"/>
  <c r="J23" i="12"/>
  <c r="I23" i="12"/>
  <c r="H23" i="12"/>
  <c r="G23" i="12"/>
  <c r="F23" i="12"/>
  <c r="E23" i="12"/>
  <c r="O21" i="12"/>
  <c r="N21" i="12"/>
  <c r="M21" i="12"/>
  <c r="L21" i="12"/>
  <c r="K21" i="12"/>
  <c r="I21" i="12"/>
  <c r="G21" i="12"/>
  <c r="J21" i="12" s="1"/>
  <c r="E21" i="12"/>
  <c r="P20" i="12"/>
  <c r="O20" i="12"/>
  <c r="N20" i="12"/>
  <c r="M20" i="12"/>
  <c r="L20" i="12"/>
  <c r="K20" i="12"/>
  <c r="I20" i="12"/>
  <c r="G20" i="12"/>
  <c r="J20" i="12" s="1"/>
  <c r="E20" i="12"/>
  <c r="N19" i="12"/>
  <c r="M19" i="12"/>
  <c r="L19" i="12"/>
  <c r="K19" i="12"/>
  <c r="I19" i="12"/>
  <c r="G19" i="12"/>
  <c r="J19" i="12" s="1"/>
  <c r="E19" i="12"/>
  <c r="O18" i="12"/>
  <c r="N18" i="12"/>
  <c r="L18" i="12"/>
  <c r="M18" i="12" s="1"/>
  <c r="K18" i="12"/>
  <c r="I18" i="12"/>
  <c r="G18" i="12"/>
  <c r="J18" i="12" s="1"/>
  <c r="E18" i="12"/>
  <c r="O17" i="12"/>
  <c r="N17" i="12"/>
  <c r="M17" i="12"/>
  <c r="L17" i="12"/>
  <c r="K17" i="12"/>
  <c r="I17" i="12"/>
  <c r="G17" i="12"/>
  <c r="J17" i="12" s="1"/>
  <c r="E17" i="12"/>
  <c r="Q34" i="11" l="1"/>
  <c r="F99" i="15" l="1"/>
  <c r="E99" i="15"/>
  <c r="D99" i="15"/>
  <c r="C99" i="15"/>
  <c r="F98" i="15"/>
  <c r="E98" i="15"/>
  <c r="D98" i="15"/>
  <c r="C98" i="15"/>
  <c r="F96" i="15"/>
  <c r="E96" i="15"/>
  <c r="D96" i="15"/>
  <c r="C96" i="15"/>
  <c r="F95" i="15"/>
  <c r="E95" i="15"/>
  <c r="D95" i="15"/>
  <c r="C95" i="15"/>
  <c r="F94" i="15"/>
  <c r="E94" i="15"/>
  <c r="D94" i="15"/>
  <c r="C94" i="15"/>
  <c r="F93" i="15"/>
  <c r="E93" i="15"/>
  <c r="D93" i="15"/>
  <c r="C93" i="15"/>
  <c r="F92" i="15"/>
  <c r="E92" i="15"/>
  <c r="D92" i="15"/>
  <c r="C92" i="15"/>
  <c r="F91" i="15"/>
  <c r="E91" i="15"/>
  <c r="D91" i="15"/>
  <c r="C91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</calcChain>
</file>

<file path=xl/sharedStrings.xml><?xml version="1.0" encoding="utf-8"?>
<sst xmlns="http://schemas.openxmlformats.org/spreadsheetml/2006/main" count="2259" uniqueCount="1195">
  <si>
    <t>Наименование и технические характеристики</t>
  </si>
  <si>
    <t>Размеры</t>
  </si>
  <si>
    <t>длина, мм</t>
  </si>
  <si>
    <t>высота, мм</t>
  </si>
  <si>
    <t>ширина, мм</t>
  </si>
  <si>
    <t>YTONG D400</t>
  </si>
  <si>
    <t>400 кг/м³</t>
  </si>
  <si>
    <t>YTONG D500</t>
  </si>
  <si>
    <t>500 кг/м³</t>
  </si>
  <si>
    <t>YTONG D600</t>
  </si>
  <si>
    <t>600 кг/м³</t>
  </si>
  <si>
    <t xml:space="preserve">1.313 </t>
  </si>
  <si>
    <t xml:space="preserve">1.406 </t>
  </si>
  <si>
    <t xml:space="preserve">Объем паллеты, м³ </t>
  </si>
  <si>
    <t>Загрузка автомобиля м³/кол-во поддонов в автомобиле</t>
  </si>
  <si>
    <t>Класс прочности на сжатие</t>
  </si>
  <si>
    <t>В 2.5</t>
  </si>
  <si>
    <r>
      <t>Марка по плотности (кг/м</t>
    </r>
    <r>
      <rPr>
        <vertAlign val="superscript"/>
        <sz val="12"/>
        <color theme="1"/>
        <rFont val="Calibri"/>
        <family val="2"/>
        <charset val="204"/>
      </rPr>
      <t>3</t>
    </r>
    <r>
      <rPr>
        <sz val="12"/>
        <color theme="1"/>
        <rFont val="Calibri"/>
        <family val="2"/>
        <charset val="204"/>
      </rPr>
      <t>)</t>
    </r>
  </si>
  <si>
    <t>Картинка Продукции</t>
  </si>
  <si>
    <t>В 3.5</t>
  </si>
  <si>
    <r>
      <t xml:space="preserve">Блоки стеновые энергоэффективные </t>
    </r>
    <r>
      <rPr>
        <sz val="12"/>
        <color rgb="FFC00000"/>
        <rFont val="Calibri"/>
        <family val="2"/>
        <charset val="204"/>
      </rPr>
      <t>(ровные)</t>
    </r>
  </si>
  <si>
    <r>
      <t xml:space="preserve">Блоки стеновые энергоэффективные </t>
    </r>
    <r>
      <rPr>
        <sz val="12"/>
        <color rgb="FFC00000"/>
        <rFont val="Calibri"/>
        <family val="2"/>
        <charset val="204"/>
      </rPr>
      <t>(паз-гребень)</t>
    </r>
  </si>
  <si>
    <r>
      <t xml:space="preserve">Блоки стеновые повышенной прочности </t>
    </r>
    <r>
      <rPr>
        <sz val="12"/>
        <color rgb="FFC00000"/>
        <rFont val="Calibri"/>
        <family val="2"/>
        <charset val="204"/>
      </rPr>
      <t>(ровные)</t>
    </r>
  </si>
  <si>
    <t>Кол-во шт. на паллете</t>
  </si>
  <si>
    <r>
      <t xml:space="preserve">Блоки для монтажа перегородок </t>
    </r>
    <r>
      <rPr>
        <sz val="12"/>
        <color rgb="FFC00000"/>
        <rFont val="Calibri"/>
        <family val="2"/>
        <charset val="204"/>
      </rPr>
      <t>(ровные)</t>
    </r>
  </si>
  <si>
    <r>
      <t xml:space="preserve">Блоки стеновые звукоизоляционные, ультрапрочные </t>
    </r>
    <r>
      <rPr>
        <sz val="12"/>
        <color rgb="FFC00000"/>
        <rFont val="Calibri"/>
        <family val="2"/>
        <charset val="204"/>
      </rPr>
      <t>(ровные)</t>
    </r>
  </si>
  <si>
    <t>В 5</t>
  </si>
  <si>
    <t>Прайс-Лист на газосиликатные блоки Ytong</t>
  </si>
  <si>
    <t>Поставки газобетона осуществляются с площадок:</t>
  </si>
  <si>
    <t>на главную</t>
  </si>
  <si>
    <t xml:space="preserve">       дер.Мотяково, Люберецкий р-н, Московская обл.</t>
  </si>
  <si>
    <t xml:space="preserve">       г.Можайск, Московская область.</t>
  </si>
  <si>
    <t>Прайс-Лист на газобетонные блоки El-Block</t>
  </si>
  <si>
    <t xml:space="preserve">       г. Коломна, Московская обл.</t>
  </si>
  <si>
    <t>El-Block D400</t>
  </si>
  <si>
    <t>El-Block D500</t>
  </si>
  <si>
    <t>El-Block D600</t>
  </si>
  <si>
    <t>Цена за 1 м³ на самовывозе из г. Коломна</t>
  </si>
  <si>
    <t>Цена за 1 м³ на самовывозе из д. Мотяково</t>
  </si>
  <si>
    <t>Газобетонные блоки El-Block</t>
  </si>
  <si>
    <t>Блоки ЭКО D400</t>
  </si>
  <si>
    <t>Блоки ЭКО D500</t>
  </si>
  <si>
    <t xml:space="preserve">       г. Ярославль, ЦФО</t>
  </si>
  <si>
    <t>Цена за 1 м³ на самовывозе из г. Ярославль</t>
  </si>
  <si>
    <t>Марка морозостойкости</t>
  </si>
  <si>
    <t>F75</t>
  </si>
  <si>
    <t xml:space="preserve">Теплопроводность, Вт/м×С  </t>
  </si>
  <si>
    <t>Блоки ЭКО D500 ПЕРЕГОРОДКА</t>
  </si>
  <si>
    <t>Газобетонные блоки ЭКО</t>
  </si>
  <si>
    <t>Прайс-Лист на газобетонные блоки ЭКО</t>
  </si>
  <si>
    <t>18 поддонов/32,4 м3</t>
  </si>
  <si>
    <t>18 поддонов/30,24 м3</t>
  </si>
  <si>
    <t>18 поддонов/34,56 м3</t>
  </si>
  <si>
    <t>17 поддонов/28,56 м3</t>
  </si>
  <si>
    <t>16 поддонов/28,8 м3</t>
  </si>
  <si>
    <t xml:space="preserve">   16 поддонов/28,8 м3</t>
  </si>
  <si>
    <t xml:space="preserve">Прайс-Лист </t>
  </si>
  <si>
    <t xml:space="preserve">E-mail: </t>
  </si>
  <si>
    <t>Виниловый сайдинг Grand Line AMERIKA</t>
  </si>
  <si>
    <r>
      <rPr>
        <b/>
        <sz val="14"/>
        <color rgb="FFFF0000"/>
        <rFont val="Calibri"/>
        <family val="2"/>
        <charset val="204"/>
        <scheme val="minor"/>
      </rPr>
      <t>Компания:</t>
    </r>
    <r>
      <rPr>
        <sz val="12"/>
        <color theme="1"/>
        <rFont val="Calibri"/>
        <family val="2"/>
        <charset val="204"/>
        <scheme val="minor"/>
      </rPr>
      <t xml:space="preserve"> "ФасадПоУму"</t>
    </r>
    <r>
      <rPr>
        <sz val="12"/>
        <color rgb="FF000000"/>
        <rFont val="Calibri"/>
        <family val="2"/>
        <charset val="204"/>
        <scheme val="minor"/>
      </rPr>
      <t xml:space="preserve"> , г.Москва    улица </t>
    </r>
    <r>
      <rPr>
        <sz val="12"/>
        <color theme="1"/>
        <rFont val="Calibri"/>
        <family val="2"/>
        <charset val="204"/>
        <scheme val="minor"/>
      </rPr>
      <t>Шарикоподшипниковская, д.11 стр. 5</t>
    </r>
  </si>
  <si>
    <r>
      <rPr>
        <b/>
        <sz val="14"/>
        <color rgb="FFFF0000"/>
        <rFont val="Calibri"/>
        <family val="2"/>
        <charset val="204"/>
        <scheme val="minor"/>
      </rPr>
      <t>Телефон: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+7 (495) 646-07-26</t>
    </r>
  </si>
  <si>
    <r>
      <rPr>
        <b/>
        <sz val="14"/>
        <color rgb="FFFF0000"/>
        <rFont val="Calibri"/>
        <family val="2"/>
        <charset val="204"/>
        <scheme val="minor"/>
      </rPr>
      <t>Время работы офиса:</t>
    </r>
    <r>
      <rPr>
        <sz val="12"/>
        <color theme="1"/>
        <rFont val="Calibri"/>
        <family val="2"/>
        <charset val="204"/>
        <scheme val="minor"/>
      </rPr>
      <t xml:space="preserve">  понедельник-пятница  09:00-18:00</t>
    </r>
  </si>
  <si>
    <t>Металлический сайдинг Grand Line</t>
  </si>
  <si>
    <t>Декоративный камень White Hills</t>
  </si>
  <si>
    <t>Газобетонные блоки Ytong</t>
  </si>
  <si>
    <t>№</t>
  </si>
  <si>
    <t>Наименование</t>
  </si>
  <si>
    <t>Марка</t>
  </si>
  <si>
    <t>Размер, мм</t>
  </si>
  <si>
    <t>Масса, кг/шт</t>
  </si>
  <si>
    <t>Кол-во на поддоне, шт</t>
  </si>
  <si>
    <t>Станд. норма загрузки а/м 20 тонн, шт</t>
  </si>
  <si>
    <t>Розничная цена,
 руб/шт с НДС</t>
  </si>
  <si>
    <t>с доставкой до МКАД</t>
  </si>
  <si>
    <t>КАМЕНЬ КЕРАМИЧЕСКИЙ (ПОРИЗОВАННЫЙ)  BRAER, ГОСТ 530-2012</t>
  </si>
  <si>
    <t xml:space="preserve">
10,7 НФ</t>
  </si>
  <si>
    <t>М100</t>
  </si>
  <si>
    <t>380х
250х
219</t>
  </si>
  <si>
    <t xml:space="preserve">
12,4 НФ</t>
  </si>
  <si>
    <t>440x
250х
219</t>
  </si>
  <si>
    <t xml:space="preserve">
14,3 НФ</t>
  </si>
  <si>
    <t>М100-125</t>
  </si>
  <si>
    <t>510х
130х
219</t>
  </si>
  <si>
    <t xml:space="preserve">
для перегородок, 5,4 НФ</t>
  </si>
  <si>
    <t>М150</t>
  </si>
  <si>
    <t xml:space="preserve">510х
95х
219
</t>
  </si>
  <si>
    <t xml:space="preserve">
доборный, 5,2 НФ</t>
  </si>
  <si>
    <t>М125</t>
  </si>
  <si>
    <t>380х
130х
219</t>
  </si>
  <si>
    <t xml:space="preserve">
доборный, 7,1 НФ</t>
  </si>
  <si>
    <t>ТЕПЛОИЗОЛЯЦИОННЫЙ КЛАДОЧНЫЙ РАСТВОР BRAER LM 21, ГОСТ 31357-2007</t>
  </si>
  <si>
    <t>М50</t>
  </si>
  <si>
    <t>-</t>
  </si>
  <si>
    <t xml:space="preserve">
зимний</t>
  </si>
  <si>
    <t>* Цена указана с учетом отгрузки из п. Обидимо</t>
  </si>
  <si>
    <t>** Цена указана с учетом отгрузки из г. Ногинска</t>
  </si>
  <si>
    <t>ЛИЦЕВОЙ КЕРАМИЧЕСКИЙ КИРПИЧ BRAER, ГОСТ 530-2012</t>
  </si>
  <si>
    <t xml:space="preserve">
красный гладкий 1 НФ</t>
  </si>
  <si>
    <t>250х
120х
65</t>
  </si>
  <si>
    <t>420 / 480</t>
  </si>
  <si>
    <t>8400 / 8640</t>
  </si>
  <si>
    <t xml:space="preserve">
красный риф 1 НФ</t>
  </si>
  <si>
    <t xml:space="preserve">
красный "кора дуба" 1НФ</t>
  </si>
  <si>
    <t xml:space="preserve">
красный "ретро" 1 НФ</t>
  </si>
  <si>
    <t xml:space="preserve">
красный "волна" 1 НФ</t>
  </si>
  <si>
    <t xml:space="preserve">
бордо гладкий 1 НФ</t>
  </si>
  <si>
    <t xml:space="preserve">
светло-бордовый гладкий 1 НФ</t>
  </si>
  <si>
    <t xml:space="preserve">
"Баварская кладка" 1 НФ</t>
  </si>
  <si>
    <t>Баварская кладка "кора дуба" 1 НФ</t>
  </si>
  <si>
    <t xml:space="preserve">
темно-коричневый 1 НФ</t>
  </si>
  <si>
    <t xml:space="preserve">
темно-коричневый риф 1 НФ</t>
  </si>
  <si>
    <t xml:space="preserve">
красный гладкий 1,4 НФ</t>
  </si>
  <si>
    <t>250х120х88</t>
  </si>
  <si>
    <t xml:space="preserve">
красный риф 1,4 НФ</t>
  </si>
  <si>
    <t>М175</t>
  </si>
  <si>
    <t>Штукатурные фасады CERESIT</t>
  </si>
  <si>
    <t>Штукатурные фасады WEBER</t>
  </si>
  <si>
    <t>Облицовочный киприч Wienerberger</t>
  </si>
  <si>
    <t>Облицовочный кирпич и блоки BRAER</t>
  </si>
  <si>
    <t>При покупке на сумму свыше 30 тыс. руб. - действует система скидок.</t>
  </si>
  <si>
    <t xml:space="preserve">Прайс-лист на блоки и облицовочный кирпич BRAER  </t>
  </si>
  <si>
    <t>Прайс-Лист на материалы для штукатурных фасадов WEBER</t>
  </si>
  <si>
    <t>Прайс-Лист на металлический сайдинг Grand Line</t>
  </si>
  <si>
    <t xml:space="preserve">Прайс-лист на блоки и облицовочный кирпич Wienerberger  </t>
  </si>
  <si>
    <t xml:space="preserve"> Номенклатура</t>
  </si>
  <si>
    <t>Розничная
до 50 м</t>
  </si>
  <si>
    <t>Розница
от 51 до 100 м (-5% скидка)</t>
  </si>
  <si>
    <t>Розница
от 101 до 200 м
 (-7% скидка)</t>
  </si>
  <si>
    <t>Розница
от 201 до 400 м
 (-10% скидка)</t>
  </si>
  <si>
    <t xml:space="preserve">Розница 
от 401 м </t>
  </si>
  <si>
    <t>Облицовочные материалы</t>
  </si>
  <si>
    <t>Уайт Клиффс</t>
  </si>
  <si>
    <t>спец. Цена</t>
  </si>
  <si>
    <t>Уорд Хилл</t>
  </si>
  <si>
    <t>Кросс Фелл</t>
  </si>
  <si>
    <t>Фьорд Лэнд</t>
  </si>
  <si>
    <t>Норд Ридж</t>
  </si>
  <si>
    <t>Зендлэнд</t>
  </si>
  <si>
    <t xml:space="preserve">Каскад Рейндж </t>
  </si>
  <si>
    <t xml:space="preserve">Монтебелло </t>
  </si>
  <si>
    <t xml:space="preserve">Шеффилд </t>
  </si>
  <si>
    <t>Ленстер</t>
  </si>
  <si>
    <t>Шинон</t>
  </si>
  <si>
    <t>Лорн</t>
  </si>
  <si>
    <t>Рока</t>
  </si>
  <si>
    <t>Рутланд</t>
  </si>
  <si>
    <t>Хантли</t>
  </si>
  <si>
    <t>Тевиот</t>
  </si>
  <si>
    <t>Бремар</t>
  </si>
  <si>
    <t>Шербон</t>
  </si>
  <si>
    <t>Данвеган</t>
  </si>
  <si>
    <t>Дарем</t>
  </si>
  <si>
    <t>Девон</t>
  </si>
  <si>
    <t>Тиволи (20*40)</t>
  </si>
  <si>
    <t>Йоркшир</t>
  </si>
  <si>
    <t>Морэй</t>
  </si>
  <si>
    <t>Айгер</t>
  </si>
  <si>
    <t>Шеффилд 19,6*9,6</t>
  </si>
  <si>
    <t>Лоарре</t>
  </si>
  <si>
    <t>Тилл 25*12.5</t>
  </si>
  <si>
    <t>Тилл 25*6,25</t>
  </si>
  <si>
    <t>Беркли</t>
  </si>
  <si>
    <t>Толедо</t>
  </si>
  <si>
    <t>Лотиан</t>
  </si>
  <si>
    <t>Тиволи брик</t>
  </si>
  <si>
    <t>Лаутер</t>
  </si>
  <si>
    <t>Тоскана</t>
  </si>
  <si>
    <t>Лондон брик</t>
  </si>
  <si>
    <t>Кельн брик</t>
  </si>
  <si>
    <t>Бремен брик</t>
  </si>
  <si>
    <t>Терамо брик</t>
  </si>
  <si>
    <t>Брюгге брик</t>
  </si>
  <si>
    <t xml:space="preserve">Остия брик </t>
  </si>
  <si>
    <t>Терамо брик II</t>
  </si>
  <si>
    <t>Сити брик</t>
  </si>
  <si>
    <t xml:space="preserve">Эль Торро </t>
  </si>
  <si>
    <t xml:space="preserve">Торре Бьянка </t>
  </si>
  <si>
    <t xml:space="preserve">Монте Кьяро </t>
  </si>
  <si>
    <t>Алтен брик</t>
  </si>
  <si>
    <t xml:space="preserve">Йорк брик </t>
  </si>
  <si>
    <t xml:space="preserve">Эллинбрик </t>
  </si>
  <si>
    <t>Гипс</t>
  </si>
  <si>
    <t>Йорк брик</t>
  </si>
  <si>
    <t>Декоративные элементы</t>
  </si>
  <si>
    <t>Отливы</t>
  </si>
  <si>
    <t>Накрывочная плита 4-х скатная 23*23</t>
  </si>
  <si>
    <t>Накрывочная плита 4-х скатная 30*30</t>
  </si>
  <si>
    <t>Накрывочная плита 4-х скатная 38*38</t>
  </si>
  <si>
    <t>Накрывочная плита 4-х скатная 45*45</t>
  </si>
  <si>
    <t>Накрывочная плита 4-х скатная 50*50</t>
  </si>
  <si>
    <t>Накрывочная плита 4-х скатная 55*55</t>
  </si>
  <si>
    <t>Накрывочная плита 2-х скатная 19*50</t>
  </si>
  <si>
    <t>Накрывочная плита 2-х скатная 30*50</t>
  </si>
  <si>
    <t>Накрывочная плита 2-х скатная 35*25</t>
  </si>
  <si>
    <t>Накрывочная плита 2-х скатная 38*50</t>
  </si>
  <si>
    <t>Накрывочная плита 2-х скатная 45*25</t>
  </si>
  <si>
    <t>Накрывочная плита 2-х скатная 45*50</t>
  </si>
  <si>
    <t>Накрывочная плита 2-х скатная 55*50</t>
  </si>
  <si>
    <t>Тиволи</t>
  </si>
  <si>
    <t>Откос - 745</t>
  </si>
  <si>
    <t>Замковые камни - 730</t>
  </si>
  <si>
    <t>Плоскостные элементы - 720</t>
  </si>
  <si>
    <t>Плоскостные элементы - 725</t>
  </si>
  <si>
    <t>Радиальные элементы - 735</t>
  </si>
  <si>
    <t>Тротуарная плитка - С900</t>
  </si>
  <si>
    <t>Тротуарная плитка "Дощечки"</t>
  </si>
  <si>
    <t>Бордюр - С950</t>
  </si>
  <si>
    <t>Водоотвод</t>
  </si>
  <si>
    <t>Сопутствующие товары</t>
  </si>
  <si>
    <t>White Hills «ЭКСТРА», клей  (25 кг)</t>
  </si>
  <si>
    <t>White Hills «ЭКСТРА», клей  (7 кг) - ведро</t>
  </si>
  <si>
    <t>БЕЛАЯ  затирка WHITE HILLS, (25 кг)</t>
  </si>
  <si>
    <t>СЕРАЯ  затирка WHITE HILLS, (25 кг)</t>
  </si>
  <si>
    <t>БЕЛАЯ  затирка WHITE HILLS, (4,5 кг) - ведро</t>
  </si>
  <si>
    <t>Трассовый раствор для зполнения швов, (25 кг)</t>
  </si>
  <si>
    <t>Гидрофобизатор White Hills (Н1) - 5л</t>
  </si>
  <si>
    <t>Стеклосетка панцирная  White Hills САУ 320</t>
  </si>
  <si>
    <t>Стеклосетка фасадная White Hills 2000 СНУ 165</t>
  </si>
  <si>
    <t>Краситель</t>
  </si>
  <si>
    <t>Пакет для расшивки</t>
  </si>
  <si>
    <t>Прайс-Лист на декоративный камень White Hills</t>
  </si>
  <si>
    <t xml:space="preserve">цены действительны с </t>
  </si>
  <si>
    <t>Рисунок</t>
  </si>
  <si>
    <t>Ширина, м</t>
  </si>
  <si>
    <t>Длина, м</t>
  </si>
  <si>
    <t>Кол-во шт. в упаковке</t>
  </si>
  <si>
    <t>цвет</t>
  </si>
  <si>
    <t>Цена розница руб.</t>
  </si>
  <si>
    <t>Общая</t>
  </si>
  <si>
    <t>Полезная</t>
  </si>
  <si>
    <t>шт.</t>
  </si>
  <si>
    <t>м 2</t>
  </si>
  <si>
    <t>Стандартные цвета</t>
  </si>
  <si>
    <t>мореный дуб</t>
  </si>
  <si>
    <t>карамельный,
темно-бежевый</t>
  </si>
  <si>
    <t>коричневый</t>
  </si>
  <si>
    <t>Сайдинг-панель D4,4 GL Amerika</t>
  </si>
  <si>
    <t>бежевый, ванильный, желтый, персиковый, салатовый, серый, белый, сандаловый, кремовый, голубой</t>
  </si>
  <si>
    <t>Н-профиль соединительный</t>
  </si>
  <si>
    <t>J-профиль</t>
  </si>
  <si>
    <t>Мореный дуб</t>
  </si>
  <si>
    <t>Сайдинг-панель D4 GL Amerika</t>
  </si>
  <si>
    <t>бежевый, ванильный, желтый, персиковый, салатовый, серый, белый, кремовый, голубой</t>
  </si>
  <si>
    <t>Финишная планка</t>
  </si>
  <si>
    <t>Стартовая планка</t>
  </si>
  <si>
    <t>136*</t>
  </si>
  <si>
    <t>Сайдинг-панель 
Блок-хаус D4,8 GL Amerika</t>
  </si>
  <si>
    <t>бежевый, ванильный</t>
  </si>
  <si>
    <t>Угол наружный</t>
  </si>
  <si>
    <t>Угол внутренний</t>
  </si>
  <si>
    <t>Сайдинг-панель вертикальный S6,3 GL Amerika</t>
  </si>
  <si>
    <t>белый, бежевый, ванильный, салатовый</t>
  </si>
  <si>
    <t>Софиты</t>
  </si>
  <si>
    <t>J-фаска (ветровая доска)</t>
  </si>
  <si>
    <t>437*</t>
  </si>
  <si>
    <t>Софит T4 GL Amerika
(гладкий, перф-ный)</t>
  </si>
  <si>
    <t>белый</t>
  </si>
  <si>
    <t>Софит T4 GL Amerika 
(гладкий, перф-ный)</t>
  </si>
  <si>
    <t>J-профиль широкий (наличник)</t>
  </si>
  <si>
    <t>Софит T3 GL Amerika (гладкий, перф-ный)</t>
  </si>
  <si>
    <t>Околооконная планка</t>
  </si>
  <si>
    <r>
      <t xml:space="preserve">Premium софит Т3 со скрытой перфорацией GL Estetic 3,0 </t>
    </r>
    <r>
      <rPr>
        <b/>
        <sz val="36"/>
        <color indexed="10"/>
        <rFont val="Arial"/>
        <family val="2"/>
        <charset val="204"/>
      </rPr>
      <t>NEW</t>
    </r>
  </si>
  <si>
    <t>Инструмент</t>
  </si>
  <si>
    <t>Сфера применения</t>
  </si>
  <si>
    <t>Описание</t>
  </si>
  <si>
    <t>Цена розн., руб.</t>
  </si>
  <si>
    <t>Цена дил., руб.</t>
  </si>
  <si>
    <t xml:space="preserve">Просекатель отверстий NHP1R </t>
  </si>
  <si>
    <t>ПВХ</t>
  </si>
  <si>
    <t>Просекатель овальных отверстий в виниловых панелях</t>
  </si>
  <si>
    <t>Молдинг</t>
  </si>
  <si>
    <t>336*</t>
  </si>
  <si>
    <t>Пробойник насечек SL5</t>
  </si>
  <si>
    <t>Используется для нанесения насечек на край панели в месте соединения с доборными элементами (финишная планка, околооконная планка)</t>
  </si>
  <si>
    <t>* - поддерживается только в белом цвете</t>
  </si>
  <si>
    <t>Все цены указаны с НДС на складе завода Grand Line (90км от МКАД по Киевскому ш.или Варшавскому ш.)</t>
  </si>
  <si>
    <t>S, D и T - это количество переломов (Single, Double,Triple), цифры - ширина одного перелома в дюймах</t>
  </si>
  <si>
    <t xml:space="preserve">Предупреждаем Вас, что не допускается продажа на объект в одном заказе улучшенного сайдинга Grand Line AMERIKA </t>
  </si>
  <si>
    <t>и сайдинга предыдущей серии из-за разной степени сопротивления УФ-излучению.</t>
  </si>
  <si>
    <t xml:space="preserve">* ВНИМАНИЕ! В случае, если доля доборных элементов в заказе составляет менее 40%, </t>
  </si>
  <si>
    <t>цена панели сайдинга может быть увеличена до 40%. право отказать в отгрузке заказа.</t>
  </si>
  <si>
    <t>Если в заказе присутствует только сайдинг без каких либо доборных элементов, поставщик оставляет за собой отказать в отгрузке заказа.</t>
  </si>
  <si>
    <t>Особенности полиграфии не позволяют передать цвета в полном соответствии с оригиналом. Запрашивайте образцы изделий у продавца.</t>
  </si>
  <si>
    <r>
      <rPr>
        <b/>
        <sz val="48"/>
        <color rgb="FFC00000"/>
        <rFont val="Calibri"/>
        <family val="2"/>
        <charset val="204"/>
        <scheme val="minor"/>
      </rPr>
      <t>Телефон:</t>
    </r>
    <r>
      <rPr>
        <sz val="48"/>
        <color theme="1"/>
        <rFont val="Calibri"/>
        <family val="2"/>
        <charset val="204"/>
        <scheme val="minor"/>
      </rPr>
      <t xml:space="preserve"> +7 (495) 646-07-26</t>
    </r>
  </si>
  <si>
    <t>Москва</t>
  </si>
  <si>
    <t xml:space="preserve">Название </t>
  </si>
  <si>
    <t>уп.</t>
  </si>
  <si>
    <t>уп./пал</t>
  </si>
  <si>
    <t>розница</t>
  </si>
  <si>
    <t>Штрих-код</t>
  </si>
  <si>
    <t>Клеи для утеплителя</t>
  </si>
  <si>
    <t>СТ 83 Клей для крепления плит из пенополистирола</t>
  </si>
  <si>
    <t>CT 83/25 Клей д/плит из пенополист. Росс</t>
  </si>
  <si>
    <t>25 кг</t>
  </si>
  <si>
    <t>4607144525558</t>
  </si>
  <si>
    <t xml:space="preserve">CT 84 Express PU PRO Клей для крепления плит из пенополистирола  </t>
  </si>
  <si>
    <t xml:space="preserve">CT 84 Клей полиуретановый, 850 мл </t>
  </si>
  <si>
    <t>850 мл</t>
  </si>
  <si>
    <t>СТ 85 Штукатурно-клеевая смесь для системы теплоизоляции фасадов на пенополистироле</t>
  </si>
  <si>
    <t>CT 85/25 Клей д/плит из пенополист. Росс</t>
  </si>
  <si>
    <t>4607053920123</t>
  </si>
  <si>
    <t xml:space="preserve">CT 85/25 Клей д/плит из пенополист. ЗИМА </t>
  </si>
  <si>
    <t xml:space="preserve">СТ 180 Клей для крепления минераловатных плит </t>
  </si>
  <si>
    <t>CT 180/25 Клей д/плит из мин.ваты Россия</t>
  </si>
  <si>
    <t>4607144526777</t>
  </si>
  <si>
    <t>СТ 190 Штукатурно-клеевая смесь для системы теплоизоляции фасадов на минеральной вате</t>
  </si>
  <si>
    <t>CT 190/25 Клей д/плит из мин.ваты Россия</t>
  </si>
  <si>
    <t>4607053920116</t>
  </si>
  <si>
    <t>CT 190/25 Клей д/плит из мин. ваты ЗИМА</t>
  </si>
  <si>
    <t>Шпаклевки, штукатурки</t>
  </si>
  <si>
    <t>СТ 29 Штукатурка и ремонтная шпаклёвка для минеральных оснований</t>
  </si>
  <si>
    <t>CT 29/5 Штукат и ремонтн шпакл Россия</t>
  </si>
  <si>
    <t>5 кг</t>
  </si>
  <si>
    <t>4607053920444</t>
  </si>
  <si>
    <t>CT 29/25 Штукат и ремонтн шпакл Россия</t>
  </si>
  <si>
    <t>4607053920413</t>
  </si>
  <si>
    <t>СТ 225 Фасадная финишная шпаклёвка (серая, белая)</t>
  </si>
  <si>
    <t>CT 225/25 Шпакл фасад финишн серая Росси</t>
  </si>
  <si>
    <t>4607053920390</t>
  </si>
  <si>
    <t>CT 225/25 Шпакл фасад финишн белая Росси</t>
  </si>
  <si>
    <t>4607053920383</t>
  </si>
  <si>
    <t>СТ 35 Декоративная минеральная штукатурка "короед" 2,5 мм, (под окраску, белая)</t>
  </si>
  <si>
    <t>CT 35/25 Штукат мин короед 2,5 ПО Россия</t>
  </si>
  <si>
    <t>4607053920222</t>
  </si>
  <si>
    <t>CT 35/25 Штукат мин короед 2,5 белая Рос</t>
  </si>
  <si>
    <t>4607053920130</t>
  </si>
  <si>
    <t>CT 35/25 Штукат мин короед 2,5 ПО ЗИМА</t>
  </si>
  <si>
    <t>СТ 35 Декоративная минеральная штукатурка "короед" 3,5 мм, (под окраску, белая)</t>
  </si>
  <si>
    <t>CT 35/25 Штукат мин короед 3,5 ПО Россия</t>
  </si>
  <si>
    <t>4607053920239</t>
  </si>
  <si>
    <t>CT 35/25 Штукат мин короед 3,5 белая Рос</t>
  </si>
  <si>
    <t>4607053920147</t>
  </si>
  <si>
    <t>СТ 137 Декоративная минеральная штукатурка "камешковая" 1,0 мм, (под окраску, белая)</t>
  </si>
  <si>
    <t xml:space="preserve">CT 137/25 Штукат камешк 1,0 ПО Pocсия </t>
  </si>
  <si>
    <t xml:space="preserve">CT 137/25 Штукат камешк 1,0 белая Россия </t>
  </si>
  <si>
    <t>CT 137/25 Штукат камешк 1,0 ПО ЗИМА, Р</t>
  </si>
  <si>
    <t>CТ 137 Декоративная минеральная штукатурка "камешковая" 2,5 мм, (под окраску, белая)</t>
  </si>
  <si>
    <t>CT 137/25 Штукат камешк 2,5 ПО Pocсия</t>
  </si>
  <si>
    <t>4607053920208</t>
  </si>
  <si>
    <t>CT 137/25 Штукат камешк 2,5 белая Россия</t>
  </si>
  <si>
    <t>4607053920512</t>
  </si>
  <si>
    <t>CT 137/25 Штукат камешк 2,5 ПО ЗИМА Pocсия</t>
  </si>
  <si>
    <t>4640013270630</t>
  </si>
  <si>
    <t>СТ 60 Декоративная акриловая штукатурка "камешковая" 1,5мм</t>
  </si>
  <si>
    <t>СТ 60/25 Штук полим кам 1,5 мм, база Росси</t>
  </si>
  <si>
    <t xml:space="preserve">СТ 60/1,5 мм/гр.А/25кг Штук акрил кам </t>
  </si>
  <si>
    <t xml:space="preserve">СТ 60/1,5 мм/гр.B/25кг Штук акрил кам </t>
  </si>
  <si>
    <t xml:space="preserve">СТ 60/1,5 мм/гр.C/25кг Штук акрил кам </t>
  </si>
  <si>
    <t xml:space="preserve">СТ 60/1,5 мм/гр.D/25кг Штук акрил кам </t>
  </si>
  <si>
    <t xml:space="preserve">СТ 60/1,5 мм/гр.E/25кг Штук акрил кам </t>
  </si>
  <si>
    <t>СТ 60 Декоративная акриловая штукатурка "камешковая" 2,5мм</t>
  </si>
  <si>
    <t>СТ 60/25 Штук полим кам 2,5 мм, база Росс</t>
  </si>
  <si>
    <t xml:space="preserve">СТ 60/2,5 мм/гр.А/25кг Штук акрил кам </t>
  </si>
  <si>
    <t xml:space="preserve">СТ 60/2,5 мм/гр.B/25кг Штук акрил кам </t>
  </si>
  <si>
    <t xml:space="preserve">СТ 60/2,5 мм/гр.C/25кг Штук акрил кам </t>
  </si>
  <si>
    <t xml:space="preserve">СТ 60/2,5 мм/гр.D/25кг Штук акрил кам </t>
  </si>
  <si>
    <t xml:space="preserve">СТ 60/2,5 мм/гр.E/25кг Штук акрил кам </t>
  </si>
  <si>
    <t>СТ 63 Декоративная акриловая штукатурка "короед" 3,0мм</t>
  </si>
  <si>
    <t>СТ 63/25 Штук полим короед 3,0 мм, база</t>
  </si>
  <si>
    <t>СТ 63/3,0 мм/гр.А/25кг Штук акрил короед</t>
  </si>
  <si>
    <t>СТ 63/3,0 мм/гр.B/25кг Штук акрил короед</t>
  </si>
  <si>
    <t>СТ 63/3,0 мм/гр.C/25кг Штук акрил короед</t>
  </si>
  <si>
    <t>СТ 63/3,0 мм/гр.D/25кг Штук акрил короед</t>
  </si>
  <si>
    <t>СТ 63/3,0 мм/гр.E/25кг Штук акрил короед</t>
  </si>
  <si>
    <t>СТ 64 Декоративная акриловая штукатурка "короед" 2,0мм</t>
  </si>
  <si>
    <t>СТ 64/25 Штук полим короед 2,0 мм, база</t>
  </si>
  <si>
    <t>СТ 64/2,0 мм/гр.A/25кг Штук акрил короед</t>
  </si>
  <si>
    <t>СТ 64/2,0 мм/гр.B/25кг Штук акрил короед</t>
  </si>
  <si>
    <t>СТ 64/2,0 мм/гр.C/25кг Штук акрил короед</t>
  </si>
  <si>
    <t>СТ 64/2,0 мм/гр.D/25кг Штук акрил короед</t>
  </si>
  <si>
    <t>СТ 64/2,0 мм/гр.E/25кг Штук акрил короед</t>
  </si>
  <si>
    <t xml:space="preserve">СТ 72 Декоративная силикатная штукатурка "камешковая" 1,5мм </t>
  </si>
  <si>
    <t>CT 72/25 Штук силикат камешк 1,5мм база</t>
  </si>
  <si>
    <t>СТ 72/1,5 мм/гр.A/25кг Штук силикат короед</t>
  </si>
  <si>
    <t>СТ 72/1,5 мм/гр.B/25кг Штук силикат короед</t>
  </si>
  <si>
    <t>СТ 72/1,5 мм/гр.C/25кг Штук силикат короед</t>
  </si>
  <si>
    <t>СТ 72/1,5 мм/гр.D/25кг Штук силикат короед</t>
  </si>
  <si>
    <t>СТ 72/1,5 мм/гр.E/25кг Штук силикат короед</t>
  </si>
  <si>
    <t xml:space="preserve">СТ 72 Декоративная силикатная штукатурка "камешковая" 2,5мм </t>
  </si>
  <si>
    <t>CT 72/25 Штук силикат камешк 2,5мм база</t>
  </si>
  <si>
    <t>СТ 72/2,5 мм/гр.A/25кг Штук силикат кам</t>
  </si>
  <si>
    <t>СТ 72/2,5 мм/гр.B/25кг Штук силикат кам</t>
  </si>
  <si>
    <t>СТ 72/2,5 мм/гр.C/25кг Штук силикат кам</t>
  </si>
  <si>
    <t>СТ 72/2,5 мм/гр.D/25кг Штук силикат кам</t>
  </si>
  <si>
    <t>СТ 72/2,5 мм/гр.E/25кг Штук силикат кам</t>
  </si>
  <si>
    <t xml:space="preserve">СТ 73 Декоративная силикатная штукатурка "короед" 2,0мм </t>
  </si>
  <si>
    <t>CT 73/25 Штук силикат короед 2мм база</t>
  </si>
  <si>
    <t>5900089636822</t>
  </si>
  <si>
    <t>СТ 73/2,0 мм/гр.A/25кг Штук силикат короед</t>
  </si>
  <si>
    <t>СТ 73/2,0 мм/гр.B/25кг Штук силикат короед</t>
  </si>
  <si>
    <t>СТ 73/2,0 мм/гр.C/25кг Штук силикат короед</t>
  </si>
  <si>
    <t>СТ 73/2,0 мм/гр.D/25кг Штук силикат короед</t>
  </si>
  <si>
    <t>СТ 73/2,0 мм/гр.E/25кг Штук силикат короед</t>
  </si>
  <si>
    <t xml:space="preserve">СТ 74 Декоративная силиконовая штукатурка "камешковая" 1,5мм </t>
  </si>
  <si>
    <t>CT 74/25 Штук силикон камешк 1,5мм база</t>
  </si>
  <si>
    <t>СТ 74/1,5 мм/гр.A/25кг Штук силикон кам</t>
  </si>
  <si>
    <t>СТ 74/1,5 мм/гр.B/25кг Штук силикон кам</t>
  </si>
  <si>
    <t>СТ 74/1,5 мм/гр.C/25кг Штук силикон кам</t>
  </si>
  <si>
    <t>СТ 74/1,5 мм/гр.D/25кг Штук силикон кам</t>
  </si>
  <si>
    <t>СТ 74/1,5 мм/гр.E/25кг Штук силикон кам</t>
  </si>
  <si>
    <t xml:space="preserve">СТ 74 Декоративная силиконовая штукатурка "камешковая" 2,5мм </t>
  </si>
  <si>
    <t>CT 74/25 Штук силикон камешк 2,5мм база</t>
  </si>
  <si>
    <t>СТ 74/2,5 мм/гр.A/25кг Штук силикон кам</t>
  </si>
  <si>
    <t>СТ 74/2,5 мм/гр.B/25кг Штук силикон кам</t>
  </si>
  <si>
    <t>СТ 74/2,5 мм/гр.C/25кг Штук силикон кам</t>
  </si>
  <si>
    <t>СТ 74/2,5 мм/гр.D/25кг Штук силикон кам</t>
  </si>
  <si>
    <t>СТ 74/2,5 мм/гр.E/25кг Штук силикон кам</t>
  </si>
  <si>
    <t xml:space="preserve">СТ 75 Декоративная силиконовая штукатурка "короед" 2,0 мм </t>
  </si>
  <si>
    <t>CT 75/25 Штук силикон короед 2мм база</t>
  </si>
  <si>
    <t>5900089057207</t>
  </si>
  <si>
    <t>СТ 75/2,0 мм/гр.A/25кг Штук силикон короед</t>
  </si>
  <si>
    <t>СТ 75/2,0 мм/гр.B/25кг Штук силикон короед</t>
  </si>
  <si>
    <t>СТ 75/2,0 мм/гр.C/25кг Штук силикон короед</t>
  </si>
  <si>
    <t>СТ 75/2,0 мм/гр.D/25кг Штук силикон короед</t>
  </si>
  <si>
    <t>СТ 75/2,0 мм/гр.E/25кг Штук силикон короед</t>
  </si>
  <si>
    <t xml:space="preserve">CT174 Декоративная силикатно-силиконовая штукатурка "камешковая" 1,5 мм </t>
  </si>
  <si>
    <t xml:space="preserve">CT174 Штук силик-силикон. камеш 1,5 база </t>
  </si>
  <si>
    <t>4607144526241</t>
  </si>
  <si>
    <t>СТ 174/1,5 мм/гр.A/25кг Штук силик-силикон кам</t>
  </si>
  <si>
    <t>СТ 174/1,5 мм/гр.B/25кг Штук силик-силикон кам</t>
  </si>
  <si>
    <t>СТ 174/1,5 мм/гр.C/25кг Штук силик-силикон кам</t>
  </si>
  <si>
    <t>СТ 174/1,5 мм/гр.D/25кг Штук силик-силикон кам</t>
  </si>
  <si>
    <t>СТ 174/1,5 мм/гр.E/25кг Штук силик-силикон кам</t>
  </si>
  <si>
    <t>CT174 Декоративная силикатно-силиконовая штукатурка "камешковая" 2,0 мм</t>
  </si>
  <si>
    <t xml:space="preserve">CT174 Штук силик-силикон. камеш 2,0 база </t>
  </si>
  <si>
    <t>4607144526258</t>
  </si>
  <si>
    <t>СТ 174/2,0 мм/гр.A/25кг Штук силик-силикон кам</t>
  </si>
  <si>
    <t>СТ 174/2,0 мм/гр.B/25кг Штук силик-силикон кам</t>
  </si>
  <si>
    <t>СТ 174/2,0 мм/гр.C/25кг Штук силик-силикон кам</t>
  </si>
  <si>
    <t>СТ 174/2,0 мм/гр.D/25кг Штук силик-силикон кам</t>
  </si>
  <si>
    <t>СТ 174/2,0 мм/гр.E/25кг Штук силик-силикон кам</t>
  </si>
  <si>
    <t xml:space="preserve">CT175 Декоративная силикатно-силиконовая штукатурка "короед" 2,0 мм </t>
  </si>
  <si>
    <t>CT175 Штук силик-силикон. кор 2,0 база</t>
  </si>
  <si>
    <t>4607144526265</t>
  </si>
  <si>
    <t>СТ 175/2,0 мм/гр.A/25кг Штук силик-силикон короед</t>
  </si>
  <si>
    <t>СТ 175/2,0 мм/гр.B/25кг Штук силик-силикон короед</t>
  </si>
  <si>
    <t>СТ 175/2,0 мм/гр.C/25кг Штук силик-силикон короед</t>
  </si>
  <si>
    <t>СТ 175/2,0 мм/гр.D/25кг Штук силик-силикон короед</t>
  </si>
  <si>
    <t>СТ 175/2,0 мм/гр.E/25кг Штук силик-силикон короед</t>
  </si>
  <si>
    <r>
      <t>CT 77 MOSAICS OF THE WORLD Декоративная полимерная штукатурка "мозаичная", цветная</t>
    </r>
    <r>
      <rPr>
        <b/>
        <sz val="10"/>
        <color indexed="14"/>
        <rFont val="Arial Cyr"/>
      </rPr>
      <t xml:space="preserve"> </t>
    </r>
    <r>
      <rPr>
        <b/>
        <sz val="10"/>
        <color indexed="10"/>
        <rFont val="Arial Cyr"/>
      </rPr>
      <t>(Россия)  NEW!!</t>
    </r>
  </si>
  <si>
    <t>CT77/25 GRANADA5 (1,4-2,0) моз.штук. Рос</t>
  </si>
  <si>
    <t>4640013271538</t>
  </si>
  <si>
    <t>CT 77/25 TIBET 1 (1,4-2,0) моз.штук. Рос</t>
  </si>
  <si>
    <t>4640013271552</t>
  </si>
  <si>
    <t>1955285</t>
  </si>
  <si>
    <t>CT 77/25 TIBET 2 (1,4-2,0) моз.штук. Рос</t>
  </si>
  <si>
    <t>4640013271507</t>
  </si>
  <si>
    <t>CT 77/25 TIBET 4 (1,4-2,0) моз.штук. Рос</t>
  </si>
  <si>
    <t>4640013271484</t>
  </si>
  <si>
    <t>CT77/25 MOROCCO1 (1,4-2,0) моз.штук. Рос</t>
  </si>
  <si>
    <t>4640013271361</t>
  </si>
  <si>
    <t>CT77/25 MOROCCO2 (1,4-2,0) моз.штук. Рос</t>
  </si>
  <si>
    <t>4640013271255</t>
  </si>
  <si>
    <t>CT77/25 MOROCCO5 (1,4-2,0) моз.штук. Рос</t>
  </si>
  <si>
    <t>4640013271521</t>
  </si>
  <si>
    <t>CT77/25 MOROCCO6 (1,4-2,0) моз.штук. Рос</t>
  </si>
  <si>
    <t>4640013271378</t>
  </si>
  <si>
    <t>CT 77/25 CHILE 1 (1,4-2,0) моз.штук. Рос</t>
  </si>
  <si>
    <t>4640013271194</t>
  </si>
  <si>
    <t>CT 77/25 CHILE 3 (1,4-2,0) моз.штук. Рос</t>
  </si>
  <si>
    <t>4640013271163</t>
  </si>
  <si>
    <t>CT 77/25 CHILE 4 (1,4-2,0) моз.штук. Рос</t>
  </si>
  <si>
    <t>4640013271231</t>
  </si>
  <si>
    <t>CT 77/25 CHILE 5 (1,4-2,0) моз.штук. Рос</t>
  </si>
  <si>
    <t>4640013271309</t>
  </si>
  <si>
    <t>CT 77/25 CHILE 6 (1,4-2,0) моз.штук. Рос</t>
  </si>
  <si>
    <t>4640013271323</t>
  </si>
  <si>
    <r>
      <t>CT 77 Декоративная полимерная штукатурка "мозаичная", цветная</t>
    </r>
    <r>
      <rPr>
        <b/>
        <sz val="10"/>
        <color indexed="14"/>
        <rFont val="Arial Cyr"/>
      </rPr>
      <t xml:space="preserve"> </t>
    </r>
    <r>
      <rPr>
        <b/>
        <sz val="10"/>
        <color indexed="10"/>
        <rFont val="Arial Cyr"/>
      </rPr>
      <t>(Россия)</t>
    </r>
  </si>
  <si>
    <t>CT 77 20/1,4-2,0 мм/ мозаич. штукатурка Россия</t>
  </si>
  <si>
    <t>4607144527248</t>
  </si>
  <si>
    <t>CT 77 21/1,4-2,0 мм/ мозаич. штукатурка Россия</t>
  </si>
  <si>
    <t>4607144527316</t>
  </si>
  <si>
    <t xml:space="preserve">CT 77 23/1,4-2,0 мм/ мозаич. штукатурка Россия </t>
  </si>
  <si>
    <t>4607144527330</t>
  </si>
  <si>
    <t>CT 77 24/1,4-2,0 мм/ мозаич. штукатурка Россия</t>
  </si>
  <si>
    <t>4607144527347</t>
  </si>
  <si>
    <t>CT 77 26/1,4-2,0 мм/ мозаич. штукатурка Россия</t>
  </si>
  <si>
    <t>4607144527255</t>
  </si>
  <si>
    <t>CT 77 30/1,4-2,0 мм/ мозаич. штукатурка Россия</t>
  </si>
  <si>
    <t>4607144527262</t>
  </si>
  <si>
    <t>CT 77 31/1,4-2,0 мм/ мозаич. штукатурка Россия</t>
  </si>
  <si>
    <t>4607144527224</t>
  </si>
  <si>
    <t>CT 77 32/1,4-2,0 мм/ мозаич. штукатурка Россия</t>
  </si>
  <si>
    <t>4607144527361</t>
  </si>
  <si>
    <t>CT 77 33/1,4-2,0 мм/ мозаич. штукатурка Россия</t>
  </si>
  <si>
    <t>4607144527378</t>
  </si>
  <si>
    <t>CT 77 65/1,4-2,0 мм/ мозаич. штукатурка Россия</t>
  </si>
  <si>
    <t>4607144527217</t>
  </si>
  <si>
    <t>CT 77 11M/1,4-2,0 мм/ мозаич. штукатурка Россия</t>
  </si>
  <si>
    <t>4607144527514</t>
  </si>
  <si>
    <t>CT 77 60M/1,4-2,0 мм/ мозаич. штукатурка Россия</t>
  </si>
  <si>
    <t>4607144527576</t>
  </si>
  <si>
    <t>CT 77 10M /1,5-2,0 мм/ мозаич. штукатурка Россия</t>
  </si>
  <si>
    <t>4607144527507</t>
  </si>
  <si>
    <t>CT 77 13M/1,5-2,0 мм/ мозаич. штукатурка Россия</t>
  </si>
  <si>
    <t>4607144527538</t>
  </si>
  <si>
    <t>CT 77 22/1,0-2,0 мм/ мозаич. штукатурка Россия</t>
  </si>
  <si>
    <t>4607144527323</t>
  </si>
  <si>
    <t>CT 77 51/1,0-2,0 мм/ мозаич. штукатурка Россия</t>
  </si>
  <si>
    <t>4607144527439</t>
  </si>
  <si>
    <t>CT 77 54/1,0-2,0 мм/ мозаич. штукатурка Россия</t>
  </si>
  <si>
    <t>4607144527460</t>
  </si>
  <si>
    <t>CT 77 64M/1,0-2,0 мм/ мозаич. штукатурка Россия</t>
  </si>
  <si>
    <t>4607144527583</t>
  </si>
  <si>
    <r>
      <t>CT 77 Декоративная полимерная штукатурка "мозаичная", цветная</t>
    </r>
    <r>
      <rPr>
        <b/>
        <sz val="10"/>
        <color indexed="10"/>
        <rFont val="Arial Cyr"/>
        <charset val="204"/>
      </rPr>
      <t xml:space="preserve"> (Польша)</t>
    </r>
  </si>
  <si>
    <t>CT 77 14/1,4-2,0 мм/ мозаич. штукатурка Польша</t>
  </si>
  <si>
    <t>5900089177028</t>
  </si>
  <si>
    <t>CT 77 15/1,4-2,0 мм/ мозаич. штукатурка Польша</t>
  </si>
  <si>
    <t>5900089177042</t>
  </si>
  <si>
    <t>CT 77 16/1,4-2,0 мм/ мозаич. штукатурка Польша</t>
  </si>
  <si>
    <t>5900089177059</t>
  </si>
  <si>
    <t>CT 77 20/1,4-2,0 мм/ мозаич. штукатурка Польша</t>
  </si>
  <si>
    <t>5900089177066</t>
  </si>
  <si>
    <t>CT 77 21/1,4-2,0 мм/ мозаич. штукатурка Польша</t>
  </si>
  <si>
    <t>5900089177097</t>
  </si>
  <si>
    <t>CT 77 22/1,4-2,0 мм/ мозаич. штукатурка Польша</t>
  </si>
  <si>
    <t>5900089177103</t>
  </si>
  <si>
    <t xml:space="preserve">CT 77 23/1,4-2,0 мм/ мозаич. штукатурка Польша </t>
  </si>
  <si>
    <t>5900089177110</t>
  </si>
  <si>
    <t>CT 77 25/1,4-2,0 мм/ мозаич. штукатурка Польша</t>
  </si>
  <si>
    <t>5900089177134</t>
  </si>
  <si>
    <t>CT 77 30/1,4-2,0 мм/ мозаич. штукатурка Польша</t>
  </si>
  <si>
    <t>5900089177196</t>
  </si>
  <si>
    <t>CT 77 32/1,4-2,0 мм/ мозаич. штукатурка Польша</t>
  </si>
  <si>
    <t>5900089177219</t>
  </si>
  <si>
    <t>CT 77 34/1,4-2,0 мм/ мозаич. штукатурка Польша</t>
  </si>
  <si>
    <t>5900089177257</t>
  </si>
  <si>
    <t>CT 77 35/1,4-2,0 мм/ мозаич. штукатурка Польша</t>
  </si>
  <si>
    <t>5900089177264</t>
  </si>
  <si>
    <t>CT 77 41/1,4-2,0 мм/ мозаич. штукатурка Польша</t>
  </si>
  <si>
    <t>5900089177271</t>
  </si>
  <si>
    <t>CT 77 42/1,4-2,0 мм/ мозаич. штукатурка Польша</t>
  </si>
  <si>
    <t>5900089177288</t>
  </si>
  <si>
    <t>CT 77 43/1,4-2,0 мм/ мозаич. штукатурка Польша</t>
  </si>
  <si>
    <t>5900089177295</t>
  </si>
  <si>
    <t>CT 77 44/1,4-2,0 мм/ мозаич. штукатурка Польша</t>
  </si>
  <si>
    <t>5900089177325</t>
  </si>
  <si>
    <t>CT 77 45/1,4-2,0 мм/ мозаич. штукатурка Польша</t>
  </si>
  <si>
    <t>5900089177356</t>
  </si>
  <si>
    <t>CT 77 51/1,4-2,0 мм/ мозаич. штукатурка Польша</t>
  </si>
  <si>
    <t>5900089177363</t>
  </si>
  <si>
    <t>CT 77 52/1,4-2,0 мм/ мозаич. штукатурка Польша</t>
  </si>
  <si>
    <t>5900089177370</t>
  </si>
  <si>
    <t>CT 77 53/1,4-2,0 мм/ мозаич. штукатурка  Польша</t>
  </si>
  <si>
    <t>5900089177400</t>
  </si>
  <si>
    <t>CT 77 54/1,4-2,0 мм/ мозаич. штукатурка Польша</t>
  </si>
  <si>
    <t>5900089177424</t>
  </si>
  <si>
    <t>CT 77 61/1,4-2,0 мм/ мозаич. штукатурка Польша</t>
  </si>
  <si>
    <t>5900089177431</t>
  </si>
  <si>
    <t>CT 77 62/1,4-2,0 мм/ мозаич. штукатурка Польша</t>
  </si>
  <si>
    <t>5900089177448</t>
  </si>
  <si>
    <t>CT 77 63/1,4-2,0 мм/ мозаич. штукатурка Польша</t>
  </si>
  <si>
    <t>5900089177455</t>
  </si>
  <si>
    <t>CT 77 10M /1,5-2,0 мм/ мозаич. штукатурка Польша</t>
  </si>
  <si>
    <t>5900089177479</t>
  </si>
  <si>
    <t>CT 77 12M/1,5-2,0 мм/ мозаич. штукатурка Польша</t>
  </si>
  <si>
    <t>5900089177714</t>
  </si>
  <si>
    <t>CT 77 13M/1,5-2,0 мм/ мозаич. штукатурка Польша</t>
  </si>
  <si>
    <t>5900089177721</t>
  </si>
  <si>
    <t>CT 77 40M/1,5-2,0 мм/ мозаич. штукатурка Польша</t>
  </si>
  <si>
    <t>5900089177738</t>
  </si>
  <si>
    <t>CT 77 50M/1,5-2,0 мм/ мозаич. штукатурка Польша</t>
  </si>
  <si>
    <t>5900089177745</t>
  </si>
  <si>
    <t>CT 77 55M/1,5-2,0 мм/ мозаич. штукатурка Польша</t>
  </si>
  <si>
    <t>5900089177752</t>
  </si>
  <si>
    <t>CT 77 64M/1,5-2,0 мм/ мозаич. штукатурка Польша</t>
  </si>
  <si>
    <t>5900089177776</t>
  </si>
  <si>
    <t>CT 77 1D/0,8-1,2 мм/ мозаич. штукатурка Польша</t>
  </si>
  <si>
    <t>5900089177783</t>
  </si>
  <si>
    <t>CT 77 2D/0,8-1,2 мм/ мозаич. штукатурка Польша</t>
  </si>
  <si>
    <t>5900089177790</t>
  </si>
  <si>
    <t>CT 77 3D/0,8-1,2 мм/ мозаич. штукатурка Польша</t>
  </si>
  <si>
    <t>5900089177806</t>
  </si>
  <si>
    <t>CT 77 4D/0,8-1,2 мм/ мозаич. штукатурка Польша</t>
  </si>
  <si>
    <t>5900089177813</t>
  </si>
  <si>
    <t>CT 77 5D/0,8-1,2 мм/ мозаич. штукатурка Польша</t>
  </si>
  <si>
    <t>5900089177820</t>
  </si>
  <si>
    <t>CT 77 6D/0,8-1,2 мм/ мозаич. штукатурка Польша</t>
  </si>
  <si>
    <t>5900089177837</t>
  </si>
  <si>
    <t>CT 77 7D/0,8-1,2 мм/ мозаич. штукатурка Польша</t>
  </si>
  <si>
    <t>5900089177844</t>
  </si>
  <si>
    <t>CT 77 8D/0,8-1,2 мм/ мозаич. штукатурка Польша</t>
  </si>
  <si>
    <t>5900089177851</t>
  </si>
  <si>
    <t>CT 77 9D/0,8-1,2 мм/ мозаич. штукатурка  Польша</t>
  </si>
  <si>
    <t>5900089177868</t>
  </si>
  <si>
    <t>CT 77 10D/0,8-1,2 мм/ мозаич. штукатурка Польша</t>
  </si>
  <si>
    <t>5900089177875</t>
  </si>
  <si>
    <t>Краски</t>
  </si>
  <si>
    <t>CT 42 Краска водно-дисперсионная, акриловая</t>
  </si>
  <si>
    <t>CT 42/15 Краска вододисп акр база</t>
  </si>
  <si>
    <t>15 л</t>
  </si>
  <si>
    <t>4607053920833</t>
  </si>
  <si>
    <t>CT 42/гр.А/15л Краска вододисп акр</t>
  </si>
  <si>
    <t>4607144528245</t>
  </si>
  <si>
    <t>CT 42/гр.B/15л Краска вододисп акр</t>
  </si>
  <si>
    <t>4607144528252</t>
  </si>
  <si>
    <t>CT 42/гр.C/15л Краска вододисп акр</t>
  </si>
  <si>
    <t>4607144528269</t>
  </si>
  <si>
    <t>CT 42/гр.D/15л Краска вододисп акр</t>
  </si>
  <si>
    <t>4607144528276</t>
  </si>
  <si>
    <t>CT 42/гр.E/15л Краска вододисп акр</t>
  </si>
  <si>
    <t>4607144528283</t>
  </si>
  <si>
    <t>CT 42 Краска транспарентная водно-дисперсионная, акриловая</t>
  </si>
  <si>
    <t xml:space="preserve">CT 42/15 Краска вододисп акр база транспарент.  </t>
  </si>
  <si>
    <t>4607144528597</t>
  </si>
  <si>
    <t xml:space="preserve">CT 42/гр.А/15л Краска транспар. вододисп акр  </t>
  </si>
  <si>
    <r>
      <t xml:space="preserve">CT 42/гр.B/15л Краска транспар. вододисп акр </t>
    </r>
    <r>
      <rPr>
        <b/>
        <sz val="8"/>
        <color indexed="10"/>
        <rFont val="Arial Cyr"/>
      </rPr>
      <t xml:space="preserve"> </t>
    </r>
  </si>
  <si>
    <t xml:space="preserve">CT 42/гр.C/15л Краска транспар. вододисп акр  </t>
  </si>
  <si>
    <t xml:space="preserve">CT 42/гр.D/15л Краска транспар. вододисп акр </t>
  </si>
  <si>
    <t>CT 44 Краска водно-дисперсионная, акриловая</t>
  </si>
  <si>
    <t>CT 44/15 Краска вододисп акр база</t>
  </si>
  <si>
    <t>4607053920888</t>
  </si>
  <si>
    <t>CT 44/гр.А/15л Краска вододисп акр</t>
  </si>
  <si>
    <t>4607144528542</t>
  </si>
  <si>
    <t>CT 44/гр.B/15л Краска вододисп акр</t>
  </si>
  <si>
    <t>4607144528559</t>
  </si>
  <si>
    <t>CT 44/гр.C/15л Краска вододисп акр</t>
  </si>
  <si>
    <t>4607144528566</t>
  </si>
  <si>
    <t>CT 44/гр.D/15л Краска вододисп акр</t>
  </si>
  <si>
    <t>4607144528573</t>
  </si>
  <si>
    <t>CT 44/гр.E/15л Краска вододисп акр</t>
  </si>
  <si>
    <t>4607144528580</t>
  </si>
  <si>
    <t>CT 48 Краска фасадная, водно-дисперсионная, силиконовая</t>
  </si>
  <si>
    <t>CT 48/15 Краска силиконовая  база</t>
  </si>
  <si>
    <t>4607053920918</t>
  </si>
  <si>
    <t>CT 48/гр.А/15л Краска вододисп силикон</t>
  </si>
  <si>
    <t>CT 48/гр.B/15л Краска вододисп силикон</t>
  </si>
  <si>
    <t>CT 48/гр.C/15л Краска вододисп силикон</t>
  </si>
  <si>
    <t>CT 48/гр.D/15л Краска вододисп силикон</t>
  </si>
  <si>
    <t>CT 48/гр.E/15л Краска вододисп силикон</t>
  </si>
  <si>
    <t>CT 48 Краска транспарентная водно-дисперсионная, силиконовая</t>
  </si>
  <si>
    <r>
      <t xml:space="preserve">CT 48/15 Краска силиконовая база трансп              </t>
    </r>
    <r>
      <rPr>
        <b/>
        <sz val="8"/>
        <color indexed="10"/>
        <rFont val="Arial Cyr"/>
        <charset val="204"/>
      </rPr>
      <t>NEW!!</t>
    </r>
  </si>
  <si>
    <r>
      <t xml:space="preserve">CT 48/гр.А/15л Краска трансп силиконовая             </t>
    </r>
    <r>
      <rPr>
        <b/>
        <sz val="8"/>
        <color indexed="10"/>
        <rFont val="Arial Cyr"/>
        <charset val="204"/>
      </rPr>
      <t>NEW!!</t>
    </r>
  </si>
  <si>
    <r>
      <t xml:space="preserve">CT 48/гр.В/15л Краска трансп силиконовая             </t>
    </r>
    <r>
      <rPr>
        <b/>
        <sz val="8"/>
        <color indexed="10"/>
        <rFont val="Arial Cyr"/>
        <charset val="204"/>
      </rPr>
      <t>NEW!!</t>
    </r>
  </si>
  <si>
    <r>
      <t xml:space="preserve">CT 48/гр.С/15л Краска трансп силиконовая          </t>
    </r>
    <r>
      <rPr>
        <b/>
        <sz val="8"/>
        <color indexed="10"/>
        <rFont val="Arial Cyr"/>
        <charset val="204"/>
      </rPr>
      <t xml:space="preserve">   NEW!!</t>
    </r>
  </si>
  <si>
    <r>
      <t xml:space="preserve">CT 48/гр.D/15л Краска трансп силиконовая            </t>
    </r>
    <r>
      <rPr>
        <b/>
        <sz val="8"/>
        <color indexed="10"/>
        <rFont val="Arial Cyr"/>
        <charset val="204"/>
      </rPr>
      <t xml:space="preserve"> NEW!!</t>
    </r>
  </si>
  <si>
    <t>CT 54 Краска фасадная, водно-дисперсионная, силикатная</t>
  </si>
  <si>
    <t>CT 54/15 Краска силик д/нар раб  база</t>
  </si>
  <si>
    <t>4607053920949</t>
  </si>
  <si>
    <t>CT 54/гр.А/15л Краска вододисп силикат</t>
  </si>
  <si>
    <t>CT 54/гр.B/15л Краска вододисп силикат</t>
  </si>
  <si>
    <t>CT 54/гр.C/15л Краска вододисп силикат</t>
  </si>
  <si>
    <t>CT 54/гр.D/15л Краска вододисп силикат</t>
  </si>
  <si>
    <t>CT 54/гр.E/15л Краска вододисп силикат</t>
  </si>
  <si>
    <t>CT 54 Краска транспарентная водно-дисперсионная, силикатная</t>
  </si>
  <si>
    <r>
      <t xml:space="preserve">CT 54/15 Краска силикатная база трансп              </t>
    </r>
    <r>
      <rPr>
        <b/>
        <sz val="8"/>
        <color indexed="10"/>
        <rFont val="Arial Cyr"/>
        <charset val="204"/>
      </rPr>
      <t>NEW!!</t>
    </r>
  </si>
  <si>
    <r>
      <t xml:space="preserve">CT 54/гр.А/15л Краска трансп силикатная             </t>
    </r>
    <r>
      <rPr>
        <b/>
        <sz val="8"/>
        <color indexed="10"/>
        <rFont val="Arial Cyr"/>
        <charset val="204"/>
      </rPr>
      <t>NEW!!</t>
    </r>
  </si>
  <si>
    <r>
      <t xml:space="preserve">CT 54/гр.В/15л Краска трансп силикатная             </t>
    </r>
    <r>
      <rPr>
        <b/>
        <sz val="8"/>
        <color indexed="10"/>
        <rFont val="Arial Cyr"/>
        <charset val="204"/>
      </rPr>
      <t>NEW!!</t>
    </r>
  </si>
  <si>
    <r>
      <t xml:space="preserve">CT 54/гр.С/15л Краска трансп силикатная          </t>
    </r>
    <r>
      <rPr>
        <b/>
        <sz val="8"/>
        <color indexed="10"/>
        <rFont val="Arial Cyr"/>
        <charset val="204"/>
      </rPr>
      <t xml:space="preserve">   NEW!!</t>
    </r>
  </si>
  <si>
    <r>
      <t xml:space="preserve">CT 54/гр.D/15л Краска трансп силикатная            </t>
    </r>
    <r>
      <rPr>
        <b/>
        <sz val="8"/>
        <color indexed="10"/>
        <rFont val="Arial Cyr"/>
        <charset val="204"/>
      </rPr>
      <t xml:space="preserve"> NEW!!</t>
    </r>
  </si>
  <si>
    <t>Грунтовки</t>
  </si>
  <si>
    <t>СТ 15 Водно-дисперсионная грунтовка под декоративные силикатные штукатурки и фасадные краски, цветовая группа*</t>
  </si>
  <si>
    <t>CT 15/10 Грунт п/силикатн штукат белый Польша</t>
  </si>
  <si>
    <t>10 л</t>
  </si>
  <si>
    <t>5900089615001</t>
  </si>
  <si>
    <t>СТ 16 Водно-дисперсионная грунтовка под декоративные минеральные, акриловые и силиконовые фасадные штукатурки и краски, цветовая группа*</t>
  </si>
  <si>
    <t>CT 16/5 Грунт п/тонк штукат белый Россия</t>
  </si>
  <si>
    <t>5 л</t>
  </si>
  <si>
    <t>4607053920185</t>
  </si>
  <si>
    <t>CT 16/10 Грунт п/тонк штукат белый Росси</t>
  </si>
  <si>
    <t>4607053920192</t>
  </si>
  <si>
    <t>СТ 16/гр.A/10л Грунт п/тонк штук Россия</t>
  </si>
  <si>
    <t>4607144528498</t>
  </si>
  <si>
    <t>СТ 16/гр.B/10л Грунт п/тонк штук Россия</t>
  </si>
  <si>
    <t>4607144528504</t>
  </si>
  <si>
    <t>СТ 16/гр.C/10л Грунт п/тонк штук Россия</t>
  </si>
  <si>
    <t>4607144528511</t>
  </si>
  <si>
    <t>СТ 16/гр.D/10л Грунт п/тонк штук Россия</t>
  </si>
  <si>
    <t>4607144528528</t>
  </si>
  <si>
    <t>Материалы для утепления фасадов частных домов</t>
  </si>
  <si>
    <t>Thermo Universal/25кг штук.клеев.смесь</t>
  </si>
  <si>
    <t>4607053921441</t>
  </si>
  <si>
    <t>Dekor Plus/25кг штук для фасадов</t>
  </si>
  <si>
    <t>4607053922097</t>
  </si>
  <si>
    <t xml:space="preserve">                                         Прайс-Лист на материалы для штукатурных фасадов CERESIT</t>
  </si>
  <si>
    <t xml:space="preserve">                                                          "Система утепления фасадов" от 09.03.15</t>
  </si>
  <si>
    <t>Наименование профиля</t>
  </si>
  <si>
    <t>Цена, руб./кв.м</t>
  </si>
  <si>
    <t>Colority®</t>
  </si>
  <si>
    <t xml:space="preserve">Comfort </t>
  </si>
  <si>
    <t>Толщина металла, мм / покрытия, мкм</t>
  </si>
  <si>
    <t>0,5 / 25</t>
  </si>
  <si>
    <t>0,5 / 30</t>
  </si>
  <si>
    <t>0,5 / 35</t>
  </si>
  <si>
    <t>0,5 / 55</t>
  </si>
  <si>
    <t>0,5 / 50</t>
  </si>
  <si>
    <t>0,5 / 200</t>
  </si>
  <si>
    <t>Металлочерепица Classic</t>
  </si>
  <si>
    <t>Металлочерепица Country</t>
  </si>
  <si>
    <t>Двойной стоячий фальц/Profi**</t>
  </si>
  <si>
    <t>Кликфальц/Profi**</t>
  </si>
  <si>
    <t>Профнастил GL8 (С8)</t>
  </si>
  <si>
    <t>Профнастил GL10 (С10)</t>
  </si>
  <si>
    <t>Профнастил GL10 (С10) Фигурный**</t>
  </si>
  <si>
    <t>Профнастил GL20 (С20)</t>
  </si>
  <si>
    <t>Профнастил GL21 (С21)</t>
  </si>
  <si>
    <t>Профнастил GL35 (НС35)</t>
  </si>
  <si>
    <t>Профнастил GL60 (Н60)</t>
  </si>
  <si>
    <t>Сайдинг Корабельная Доска**</t>
  </si>
  <si>
    <t>Сайдинг Вертикаль GL**</t>
  </si>
  <si>
    <t>Сайдинг ЭкоБрус GL**/Gofr</t>
  </si>
  <si>
    <t>Сайдинг Блок-хаус GL**</t>
  </si>
  <si>
    <t>Штакетник П-образный</t>
  </si>
  <si>
    <t>Штакетник М-образный</t>
  </si>
  <si>
    <t>Штакетник П-образный Фигурный</t>
  </si>
  <si>
    <t>Штакетник М-образный Фигурный</t>
  </si>
  <si>
    <t>Штрипс для фальца (625 мм)</t>
  </si>
  <si>
    <t>Штрипс, отмотка</t>
  </si>
  <si>
    <t>Плоский лист</t>
  </si>
  <si>
    <t>DRIPSTOP (пн, гл)</t>
  </si>
  <si>
    <t>Письменная гарантия Grand Line</t>
  </si>
  <si>
    <t>20 лет</t>
  </si>
  <si>
    <t>30 лет</t>
  </si>
  <si>
    <t>35 лет</t>
  </si>
  <si>
    <t>50 лет</t>
  </si>
  <si>
    <t>5 лет</t>
  </si>
  <si>
    <t>*- коэффициент расчета при заказе антиконденсатного покрытия на 1 кв.м. продукции</t>
  </si>
  <si>
    <t>Наценки на сайдинг и фальцевую кровлю:</t>
  </si>
  <si>
    <t xml:space="preserve">за заказ менее  7 кв.м. </t>
  </si>
  <si>
    <t>наценка 1500 руб.</t>
  </si>
  <si>
    <t>**- Фальц (в полимерных покрытиях), фигурный профнастил,сайдинг и пл.лист (Velur® и Velur® 20) изготавливаются в защитной пленке</t>
  </si>
  <si>
    <t xml:space="preserve">за заказ от 7  до 25 кв.м. </t>
  </si>
  <si>
    <t xml:space="preserve"> наценка 100%</t>
  </si>
  <si>
    <t>за заказ от 25 до  50 кв.м.</t>
  </si>
  <si>
    <t xml:space="preserve"> наценка 20%</t>
  </si>
  <si>
    <t>Все цены указаны с НДС на складе завода Grand Line (90 км от МКАД по Киевскому ш. или Варшавскому ш.)</t>
  </si>
  <si>
    <t xml:space="preserve">за заказ от 50 до 100 кв.м. </t>
  </si>
  <si>
    <t xml:space="preserve"> наценка 10%</t>
  </si>
  <si>
    <t>Вся продукция изготавливается из металла по ГОСТ 52146-2003 и ГОСТ 52246-2004</t>
  </si>
  <si>
    <t>При заказе металлочерепицы, профнастила, пл. листа, штрипсы и отмотки:</t>
  </si>
  <si>
    <t>Объем заказа</t>
  </si>
  <si>
    <t>Наценка</t>
  </si>
  <si>
    <t>Срок изготовления</t>
  </si>
  <si>
    <r>
      <rPr>
        <b/>
        <sz val="16"/>
        <rFont val="Arial"/>
        <family val="2"/>
        <charset val="204"/>
      </rPr>
      <t>Gofr</t>
    </r>
    <r>
      <rPr>
        <sz val="16"/>
        <rFont val="Arial"/>
        <family val="2"/>
        <charset val="204"/>
      </rPr>
      <t xml:space="preserve"> - металлический сайдинг с дополнительными рёбрами жесткости</t>
    </r>
  </si>
  <si>
    <t>за заказ менее 5 кв.м.</t>
  </si>
  <si>
    <t>стандартный</t>
  </si>
  <si>
    <r>
      <t>Profi</t>
    </r>
    <r>
      <rPr>
        <sz val="16"/>
        <rFont val="Arial"/>
        <family val="2"/>
        <charset val="204"/>
      </rPr>
      <t xml:space="preserve"> - Фальцевая кровля с двумя дополнительными ребрами жесткости</t>
    </r>
  </si>
  <si>
    <t>за заказ от 5 до 10 кв.м.</t>
  </si>
  <si>
    <t>за заказ от 10 до 25 кв.м.</t>
  </si>
  <si>
    <t>за заказ менее 25 кв.м.</t>
  </si>
  <si>
    <t>нет</t>
  </si>
  <si>
    <t>Металлочерепица Kvinta</t>
  </si>
  <si>
    <r>
      <t xml:space="preserve">Нанесение защитной пленки на весь фальц в полимерных покрытиях, сайдинг и фигурный профнастил - </t>
    </r>
    <r>
      <rPr>
        <b/>
        <sz val="16"/>
        <rFont val="Arial"/>
        <family val="2"/>
        <charset val="204"/>
      </rPr>
      <t>БЕСПЛАТНО!</t>
    </r>
  </si>
  <si>
    <t>&lt;=1250</t>
  </si>
  <si>
    <t>Металлочерепица Country - стоимость материала считается исходя из ширины 1180 мм</t>
  </si>
  <si>
    <r>
      <rPr>
        <b/>
        <sz val="12"/>
        <color rgb="FFC00000"/>
        <rFont val="Calibri"/>
        <family val="2"/>
        <charset val="204"/>
        <scheme val="minor"/>
      </rPr>
      <t>Телефон:</t>
    </r>
    <r>
      <rPr>
        <sz val="12"/>
        <color theme="1"/>
        <rFont val="Calibri"/>
        <family val="2"/>
        <charset val="204"/>
        <scheme val="minor"/>
      </rPr>
      <t xml:space="preserve"> +7 (495) 646-07-26</t>
    </r>
  </si>
  <si>
    <r>
      <rPr>
        <b/>
        <sz val="22"/>
        <color rgb="FFC00000"/>
        <rFont val="Calibri"/>
        <family val="2"/>
        <charset val="204"/>
        <scheme val="minor"/>
      </rPr>
      <t>Телефон:</t>
    </r>
    <r>
      <rPr>
        <sz val="22"/>
        <color theme="1"/>
        <rFont val="Calibri"/>
        <family val="2"/>
        <charset val="204"/>
        <scheme val="minor"/>
      </rPr>
      <t xml:space="preserve"> +7 (495) 646-07-26</t>
    </r>
  </si>
  <si>
    <t>КОД</t>
  </si>
  <si>
    <t>Штрих код (EAN)</t>
  </si>
  <si>
    <t>Группа</t>
  </si>
  <si>
    <t xml:space="preserve">Русское наименование материала                                               </t>
  </si>
  <si>
    <t>Англ. наименование материала</t>
  </si>
  <si>
    <t xml:space="preserve">Описание материала                                               </t>
  </si>
  <si>
    <t>Цвет материала</t>
  </si>
  <si>
    <t>Срок годности (месяцев)</t>
  </si>
  <si>
    <t>Упаковка, кг</t>
  </si>
  <si>
    <t>Количество на паллете</t>
  </si>
  <si>
    <t xml:space="preserve">Место произ-ва        </t>
  </si>
  <si>
    <t>Стоимость доставки</t>
  </si>
  <si>
    <t>Мелкооптовая цена, рубли с НДС</t>
  </si>
  <si>
    <t>Армировочно-клеевые смеси</t>
  </si>
  <si>
    <t>ФМ</t>
  </si>
  <si>
    <t>Вебер.терм С100</t>
  </si>
  <si>
    <t>weber.therm S100</t>
  </si>
  <si>
    <t>армировочно-клеевая смесь для монтажа пенополистирола и минеральной ваты, создания армированного слоя</t>
  </si>
  <si>
    <t>серый</t>
  </si>
  <si>
    <t>Арзамас</t>
  </si>
  <si>
    <t>самовывоз</t>
  </si>
  <si>
    <t>не включена в цену материала</t>
  </si>
  <si>
    <t>Вебер.терм С100 Винтер</t>
  </si>
  <si>
    <t>Weber.therm S100 winter</t>
  </si>
  <si>
    <t>армировочно-клеевая смесь для монтажа пенополистирола и минеральной ваты, создания армированного слоя, при температуре до минус 10°С</t>
  </si>
  <si>
    <t>Bебер.терм А100</t>
  </si>
  <si>
    <t>weber.therm A100</t>
  </si>
  <si>
    <t>штукатурно-клеевая смесь для монтажа пенополистирола и создания базового штукатурого слоя / монтажа минеральной ваты и создания базового штукатурного слоя.</t>
  </si>
  <si>
    <t>Вебер.терм ЕПС</t>
  </si>
  <si>
    <t>Weber.therm EPS</t>
  </si>
  <si>
    <t xml:space="preserve">клеевая смесь для монтажа пенополистирола </t>
  </si>
  <si>
    <t>Вебер.терм МВ</t>
  </si>
  <si>
    <t>Weber.therm MW</t>
  </si>
  <si>
    <t xml:space="preserve">клеевая смесь для монтажа минеральной ваты </t>
  </si>
  <si>
    <t xml:space="preserve"> Фасадные штукатурки и шпаклевки </t>
  </si>
  <si>
    <t>Вебер.ветонит 414</t>
  </si>
  <si>
    <t xml:space="preserve">Weber.vetonit 414 </t>
  </si>
  <si>
    <t>штукатурка цементно-известковая фасадная, применяется при новом строительстве и реконструкции, толщина
нанесения 5-30 мм</t>
  </si>
  <si>
    <t>Финляндия</t>
  </si>
  <si>
    <t>Вебер.штук цемент</t>
  </si>
  <si>
    <t>Weber.stuk cement</t>
  </si>
  <si>
    <t>штукатурка цементная фасадная, толщина нанесения от 5 до 30 мм</t>
  </si>
  <si>
    <t>Вебер.штук цемент Винтер</t>
  </si>
  <si>
    <t>Weber.stuk cement winter</t>
  </si>
  <si>
    <t>штукатурка цементная фасадная, толщина нанесения от 5 до 30 мм, для работ при температуре до минус 10 °С</t>
  </si>
  <si>
    <t>Вебер.ренд фасад серый</t>
  </si>
  <si>
    <t>Weber.rend façade grey</t>
  </si>
  <si>
    <t>шпаклевка фасадная  цементная , толщина нанесения от 1 до 4 мм</t>
  </si>
  <si>
    <t>Вебер.ренд фасад серый Винтер</t>
  </si>
  <si>
    <t>Weber.rend façade grey winter</t>
  </si>
  <si>
    <t>шпаклевка фасадная  цементная , толщина нанесения от 1 до 4 мм, для работ при температуре до минус 10 0С</t>
  </si>
  <si>
    <t>Вебер.ренд фасад белый</t>
  </si>
  <si>
    <t>Weber.rend façade white</t>
  </si>
  <si>
    <t>шпаклевка фасадная  цементная,  толщина нанесения от 1 до 4 мм</t>
  </si>
  <si>
    <t>Полевской</t>
  </si>
  <si>
    <t>Грунтовка под декоративные штукатурки</t>
  </si>
  <si>
    <t>Вебер.прим Юни</t>
  </si>
  <si>
    <t>Weber.prim Uni</t>
  </si>
  <si>
    <t>грунтовка под декоративные тонкослойные штукатурки, расход 0.2 кг/м2</t>
  </si>
  <si>
    <t xml:space="preserve">Сербия </t>
  </si>
  <si>
    <t>Декоративная минеральная штукатурка</t>
  </si>
  <si>
    <t>Вебер.мин, 1.5 мм
"шуба" ПО</t>
  </si>
  <si>
    <t>weber.min, 1.5 mm shuba</t>
  </si>
  <si>
    <t>расход - 2.0-2.2 кг/м2</t>
  </si>
  <si>
    <t>светло-серый</t>
  </si>
  <si>
    <t>Россия</t>
  </si>
  <si>
    <t>Вебер.мин винтер, 1.5 мм
"шуба" ПО</t>
  </si>
  <si>
    <t>weber.min winter 1.5 mm  shuba</t>
  </si>
  <si>
    <t>расход - 2.0-2.2 кг/м2. для работ при температуре до минус10 0С</t>
  </si>
  <si>
    <t>Вебер.мин, 2.0 мм
"короед" ПО</t>
  </si>
  <si>
    <t>weber.min, 2.0 mm koroed</t>
  </si>
  <si>
    <t>расход 2.4-2.6 кг/м2</t>
  </si>
  <si>
    <t>Вебер.мин зима, 2.0 мм
"короед" ПО</t>
  </si>
  <si>
    <t>weber.min winter, 2.0 mm koroed</t>
  </si>
  <si>
    <t>расход 2.4-2.6 кг/м2.для работ при температуре до минус10 0С</t>
  </si>
  <si>
    <t xml:space="preserve"> ФМ </t>
  </si>
  <si>
    <t>Вебер.мин, 2.0 мм
"шуба" ПО</t>
  </si>
  <si>
    <t>weber.min, 2.0 mm shuba</t>
  </si>
  <si>
    <t>расход 3.0-3.2 кг/м2</t>
  </si>
  <si>
    <t xml:space="preserve"> Россия </t>
  </si>
  <si>
    <t>Вебер.мин зима, 2.0 мм
"шуба" ПО</t>
  </si>
  <si>
    <t>weber.min winter, 2.0 mm shuba</t>
  </si>
  <si>
    <t>расход 3.0-3.2 кг/м2.для работ при температуре до минус10 0С</t>
  </si>
  <si>
    <t>Декоративная акриловая штукатурка</t>
  </si>
  <si>
    <t>вебер.пас акрилат 1.0 мм "шуба"</t>
  </si>
  <si>
    <t>weber.pas akrylat  1,0 mm shuba</t>
  </si>
  <si>
    <t xml:space="preserve">белая база/ колеруется </t>
  </si>
  <si>
    <t>Сербия</t>
  </si>
  <si>
    <t>Вебер.пас акрилат, 1.5 мм "шуба"</t>
  </si>
  <si>
    <t>Weber.pas akrylat, 1.5 mm shuba</t>
  </si>
  <si>
    <t>расход 2.9-3.1 кг/м2</t>
  </si>
  <si>
    <t>Вебер.пас акрилат, 2.0 мм "шуба"</t>
  </si>
  <si>
    <t>Weber.pas akrylat, 2.0 mm shuba</t>
  </si>
  <si>
    <t>расход 3.4-3.6 кг/м2</t>
  </si>
  <si>
    <t>Вебер.пас акрилат, 1.5 мм "короед"</t>
  </si>
  <si>
    <t>Weber.pas akrylat, 1.5 mm koroed</t>
  </si>
  <si>
    <t>Вебер.пас акрилат, 2.0 мм "короед"</t>
  </si>
  <si>
    <t>Weber.pas akrylat, 2.0 mm koroed</t>
  </si>
  <si>
    <t>Вебер.пас акрилат, 3.0 мм "короед"</t>
  </si>
  <si>
    <t>Weber.pas akrylat, 3.0 mm koroed</t>
  </si>
  <si>
    <t>Декоративная силикатно-силиконовая штукатурка</t>
  </si>
  <si>
    <t>Вебер.пас модельфино, 0.5 мм "шуба"</t>
  </si>
  <si>
    <t>Weber.pas modelfino, 0.5 mm Z</t>
  </si>
  <si>
    <t>расход 1.6 кг/м2</t>
  </si>
  <si>
    <t>Австрия</t>
  </si>
  <si>
    <t>Вебер.пас декофино, 1.0 мм "шуба"</t>
  </si>
  <si>
    <t>Weber.pas decofino, 1.5 mm Z</t>
  </si>
  <si>
    <t>расход 1.8 кг/м2</t>
  </si>
  <si>
    <t xml:space="preserve">вебер.пас эстраклин 1.5мм шуба </t>
  </si>
  <si>
    <t xml:space="preserve">weber.pas extraClean shuba 1.5 mm </t>
  </si>
  <si>
    <t xml:space="preserve">вебер.пас эстраклин 2.0мм шуба </t>
  </si>
  <si>
    <t xml:space="preserve">weber.pas extraClean shuba 2.0 mm </t>
  </si>
  <si>
    <t>вебер.пас эстраклин 1.5мм короед</t>
  </si>
  <si>
    <t xml:space="preserve">weber.pas extraClean koroed 1.5 mm </t>
  </si>
  <si>
    <t>расход 2.2-2.4 кг/м2</t>
  </si>
  <si>
    <t xml:space="preserve">вебер.пас эстраклин 2.0мм короед </t>
  </si>
  <si>
    <t xml:space="preserve">weber.pas extraClean koroed  2.0 mm </t>
  </si>
  <si>
    <t>расход 2.6-2.8 кг/м2</t>
  </si>
  <si>
    <t>Декоративная силиконовая штукатурка</t>
  </si>
  <si>
    <t>Вебер.пас силикон, 1.5 мм "шуба"</t>
  </si>
  <si>
    <t>Weber.pas silikon, 1.5 mm shuba</t>
  </si>
  <si>
    <t>Вебер.пас силикон, 2.0 мм "шуба"</t>
  </si>
  <si>
    <t>Weber.pas silikon, 2.0 mm shuba</t>
  </si>
  <si>
    <t>Вебер.пас силикон, 1.5 мм "короед"</t>
  </si>
  <si>
    <t>Weber.pas silikon, 3.0 mm koroed</t>
  </si>
  <si>
    <t>Вебер.пас силикон, 2.0 мм "короед"</t>
  </si>
  <si>
    <t>Weber.pas silikon, 2.0 mm koroed</t>
  </si>
  <si>
    <t>Декоративная минерально-органическая штукатурка</t>
  </si>
  <si>
    <t>Вебер.пас топдрай, 1.5 мм "шуба"</t>
  </si>
  <si>
    <t>Weber.pas topdry, 1.5 mm Z</t>
  </si>
  <si>
    <t>Вебер.пас топдрай, 2.0 мм "шуба"</t>
  </si>
  <si>
    <t>Weber.pas topdry, 2.0 mm Z</t>
  </si>
  <si>
    <t>Вебер.пас топдрай, 3.0 мм "шуба"</t>
  </si>
  <si>
    <t>Weber.pas topdry, 3.0 mm Z</t>
  </si>
  <si>
    <t>расход 4.5-4.7 кг/м2</t>
  </si>
  <si>
    <t>Вебер.пас топдрай, 2.0 мм "короед"</t>
  </si>
  <si>
    <t>Weber.pas topdry, 2.0 mm R</t>
  </si>
  <si>
    <t>Вебер.пас топдрай, 3.0 мм "короед"</t>
  </si>
  <si>
    <t>Weber.pas topdry, 3.0 mm R</t>
  </si>
  <si>
    <t>расход 4.0-4.2 кг/м2</t>
  </si>
  <si>
    <t>Декоративная мозаичная штукатурка</t>
  </si>
  <si>
    <t>вебер.пас мармолит K1, 25 кг</t>
  </si>
  <si>
    <t>weber.pas marmolit k1, 25 kg</t>
  </si>
  <si>
    <t>расход 4.5-5.0 кг/м2</t>
  </si>
  <si>
    <t>см. каталог</t>
  </si>
  <si>
    <t>вебер.пас мармолит K2, 25 кг</t>
  </si>
  <si>
    <t>weber.pas marmolit k2, 25 kg</t>
  </si>
  <si>
    <t>вебер.пас мармолит K3, 25 кг</t>
  </si>
  <si>
    <t>weber.pas marmolit k3, 25 kg</t>
  </si>
  <si>
    <t>вебер.пас мармолит K4, 25 кг</t>
  </si>
  <si>
    <t>weber.pas marmolit k4, 25 kg</t>
  </si>
  <si>
    <t>вебер.пас мармолит K5, 25 кг</t>
  </si>
  <si>
    <t>weber.pas marmolit k5, 25 kg</t>
  </si>
  <si>
    <t>вебер.пас мармолит K6, 25 кг</t>
  </si>
  <si>
    <t>weber.pas marmolit k6, 25 kg</t>
  </si>
  <si>
    <t>вебер.пас мармолит K7, 25 кг</t>
  </si>
  <si>
    <t>weber.pas marmolit k7, 25 kg</t>
  </si>
  <si>
    <t>вебер.пас мармолит K8, 25 кг</t>
  </si>
  <si>
    <t>weber.pas marmolit k8, 25 kg</t>
  </si>
  <si>
    <t>вебер.пас мармолит K9, 25 кг</t>
  </si>
  <si>
    <t>weber.pas marmolit k9, 25 kg</t>
  </si>
  <si>
    <t>вебер.пас мармолит K10, 25 кг</t>
  </si>
  <si>
    <t>weber.pas marmolit k10, 25 kg</t>
  </si>
  <si>
    <t>вебер.пас мармолит K11, 25 кг</t>
  </si>
  <si>
    <t>weber.pas marmolit k11, 25 kg</t>
  </si>
  <si>
    <t>вебер.пас мармолит K12, 25 кг</t>
  </si>
  <si>
    <t>weber.pas marmolit k12, 25 kg</t>
  </si>
  <si>
    <t>вебер.пас мармолит K13 C, 25 кг</t>
  </si>
  <si>
    <t>weber.pas marmolit k13 S, 25 kg</t>
  </si>
  <si>
    <t>вебер.пас мармолит K14 C, 25 кг</t>
  </si>
  <si>
    <t>weber.pas marmolit k14 S, 25 kg</t>
  </si>
  <si>
    <t>вебер.пас мармолит K15 C, 25 кг</t>
  </si>
  <si>
    <t>weber.pas marmolit k15 S, 25 kg</t>
  </si>
  <si>
    <t>вебер.пас мармолит K16 C, 25 кг</t>
  </si>
  <si>
    <t>weber.pas marmolit k16 S, 25 kg</t>
  </si>
  <si>
    <t>вебер.пас мармолит K17, 25 кг</t>
  </si>
  <si>
    <t>weber.pas marmolit k17, 25 kg</t>
  </si>
  <si>
    <t>вебер.пас мармолит K18, 25 кг</t>
  </si>
  <si>
    <t>weber.pas marmolit k18, 25 kg</t>
  </si>
  <si>
    <t>вебер.пас мармолит K19, 25 кг</t>
  </si>
  <si>
    <t>weber.pas marmolit k19, 25 kg</t>
  </si>
  <si>
    <t>вебер.пас мармолит K20, 25 кг</t>
  </si>
  <si>
    <t>weber.pas marmolit k20, 25 kg</t>
  </si>
  <si>
    <t>вебер.пас мармолит K21, 25 кг</t>
  </si>
  <si>
    <t>weber.pas marmolit k21, 25 kg</t>
  </si>
  <si>
    <t>вебер.пас мармолит K22, 25 кг</t>
  </si>
  <si>
    <t>weber.pas marmolit k22, 25 kg</t>
  </si>
  <si>
    <t>вебер.пас мармолит K23, 25 кг</t>
  </si>
  <si>
    <t>weber.pas marmolit k23, 25 kg</t>
  </si>
  <si>
    <t>вебер.пас мармолит K24, 25 кг</t>
  </si>
  <si>
    <t>weber.pas marmolit k24, 25 kg</t>
  </si>
  <si>
    <t>вебер.пас мармолит K25 нуар, 25 кг</t>
  </si>
  <si>
    <t>weber.pas marmolit k25 Noir, 25 kg</t>
  </si>
  <si>
    <t xml:space="preserve">Краски и грунтовки для фасадов </t>
  </si>
  <si>
    <t xml:space="preserve">вебер.тон акрилат </t>
  </si>
  <si>
    <t xml:space="preserve">weber.ton akrylat </t>
  </si>
  <si>
    <t>фасадная акриловая краска для окраски минеральных поверхнностей и акриловых  штукатурок. Расход не менее 0.4 кг/м2 в два слоя.</t>
  </si>
  <si>
    <t>вебер.тон силикат</t>
  </si>
  <si>
    <t>weber.ton silikat</t>
  </si>
  <si>
    <t>фасадная силикатная краска для окраски минеральных поверхнностей и штукатурок. Расход не менее 0.4 кг/м2 в два слоя.</t>
  </si>
  <si>
    <t>вебер.тон микро В</t>
  </si>
  <si>
    <t xml:space="preserve">weber.ton micro V </t>
  </si>
  <si>
    <t>фасадная силиконовая краска для окраски минеральных поверхнностей и  штукатурок. Расход не менее 0.4 кг/м2 в два слоя.</t>
  </si>
  <si>
    <t>вебер.прим ИН</t>
  </si>
  <si>
    <t>weber.prim IN</t>
  </si>
  <si>
    <t>грунтовка-концентрат для подготовки поверхностей перед окраской фасадными красками. Расход 0.03 кг/м2</t>
  </si>
  <si>
    <t xml:space="preserve">белая </t>
  </si>
  <si>
    <t>Транспорт</t>
  </si>
  <si>
    <t>Артикул</t>
  </si>
  <si>
    <t>Фото</t>
  </si>
  <si>
    <t>Формат</t>
  </si>
  <si>
    <t>Размер, мм (ш*г*в)</t>
  </si>
  <si>
    <t>Вес, кг/шт.</t>
  </si>
  <si>
    <t>Кол-во на подд., шт.</t>
  </si>
  <si>
    <t>Норма загр. шт., а/м 20,5 тонн</t>
  </si>
  <si>
    <t>Цена за ед. продукции, руб/шт с НДС (с доставкой до Москвы, МКАД, Щелковское шоссе)</t>
  </si>
  <si>
    <t>КАМЕНЬ РЯДОВОЙ КРУПНОФОРМАТНЫЙ POROTHERM, ГОСТ 530-2007</t>
  </si>
  <si>
    <t>Керамический камень Porotherm 8 поризованный</t>
  </si>
  <si>
    <t>M75-M100</t>
  </si>
  <si>
    <t>4,5 НФ</t>
  </si>
  <si>
    <t>80х500х219</t>
  </si>
  <si>
    <t>ок. 7</t>
  </si>
  <si>
    <t>Керамический камень Porotherm 12 поризованный</t>
  </si>
  <si>
    <t>6,74 НФ</t>
  </si>
  <si>
    <t>120х500х219</t>
  </si>
  <si>
    <t>ок. 10,5</t>
  </si>
  <si>
    <t xml:space="preserve">Керамический камень Porotherm 25, поризованный
</t>
  </si>
  <si>
    <t>10,67 НФ</t>
  </si>
  <si>
    <t>250х380х219</t>
  </si>
  <si>
    <t>ок.16</t>
  </si>
  <si>
    <t>Керамический камень Porotherm 38, поризованный</t>
  </si>
  <si>
    <t>380х250х219</t>
  </si>
  <si>
    <t>ок. 15,5</t>
  </si>
  <si>
    <t>Керамический камень Porotherm 44, поризованный</t>
  </si>
  <si>
    <t>M100</t>
  </si>
  <si>
    <t>12,35 НФ</t>
  </si>
  <si>
    <t xml:space="preserve">440х250х219 </t>
  </si>
  <si>
    <t>ок.16,5</t>
  </si>
  <si>
    <t xml:space="preserve">26100345
</t>
  </si>
  <si>
    <t>Керамический камень Porotherm 51, поризованный</t>
  </si>
  <si>
    <t>14,32 НФ</t>
  </si>
  <si>
    <t xml:space="preserve">510х250х219 </t>
  </si>
  <si>
    <t>ок.19,5</t>
  </si>
  <si>
    <t xml:space="preserve">Керамический камень Рorotherm 38 1/2, доборный элемент </t>
  </si>
  <si>
    <t>M-100</t>
  </si>
  <si>
    <t xml:space="preserve">380х250х219 </t>
  </si>
  <si>
    <t>ок. 17,1</t>
  </si>
  <si>
    <t xml:space="preserve">Керамический камень Рorotherm 44 1/2, доборный элемент </t>
  </si>
  <si>
    <t>М-100</t>
  </si>
  <si>
    <t>440х250х219</t>
  </si>
  <si>
    <t>ок. 19,2</t>
  </si>
  <si>
    <t xml:space="preserve">Керамический камень Рorotherm 51 1/2, доборный элемент </t>
  </si>
  <si>
    <t>ок. 23,0</t>
  </si>
  <si>
    <t>PTH44R угловой блок</t>
  </si>
  <si>
    <t>9,14 НФ</t>
  </si>
  <si>
    <t>440х185х219</t>
  </si>
  <si>
    <t>ок. 14</t>
  </si>
  <si>
    <t>АКСЕССУАРЫ И ДОПОЛНИТЕЛЬНЫЕ МАТЕРИАЛЫ</t>
  </si>
  <si>
    <t>Теплый кладочный раствор Porotherm TM</t>
  </si>
  <si>
    <t>ок.20</t>
  </si>
  <si>
    <r>
      <t xml:space="preserve">Теплый кладочный раствор Porotherm TM Winter </t>
    </r>
    <r>
      <rPr>
        <sz val="9"/>
        <color indexed="60"/>
        <rFont val="Arial"/>
        <family val="2"/>
        <charset val="204"/>
      </rPr>
      <t>-10</t>
    </r>
  </si>
  <si>
    <r>
      <t xml:space="preserve">Легкая штукатурка </t>
    </r>
    <r>
      <rPr>
        <sz val="10"/>
        <rFont val="Arial"/>
        <family val="2"/>
        <charset val="204"/>
      </rPr>
      <t>Porotherm LP</t>
    </r>
  </si>
  <si>
    <t>10шт/ коробка</t>
  </si>
  <si>
    <t>ок.30</t>
  </si>
  <si>
    <t>Слайдер для нанесения раствора PTH 20</t>
  </si>
  <si>
    <t>246x800x43</t>
  </si>
  <si>
    <t>Слайдер для нанесения раствора PTH 38</t>
  </si>
  <si>
    <t>427x800x43</t>
  </si>
  <si>
    <t>Слайдер для нанесения раствора PTH 44</t>
  </si>
  <si>
    <t>487x800x43</t>
  </si>
  <si>
    <t>Слайдер для нанесения раствора PTH 51</t>
  </si>
  <si>
    <t>557x800x43</t>
  </si>
  <si>
    <t>Химический анкер POROTHERM Wallfix, картридж с 2-мя смесителями</t>
  </si>
  <si>
    <t>АКЦИЯ до 31.07.15!!!
470руб./шт.</t>
  </si>
  <si>
    <t>Сетчатая гильза 15/85</t>
  </si>
  <si>
    <t>10 шт/ упаковка</t>
  </si>
  <si>
    <t>222руб./уп.</t>
  </si>
  <si>
    <t>Сетчатая гильза 12/50</t>
  </si>
  <si>
    <t>156руб./уп.</t>
  </si>
  <si>
    <t>Монтажный набор POROTHERM Wallfix, без картриджей</t>
  </si>
  <si>
    <t>3400руб./набор</t>
  </si>
  <si>
    <t>* Цены включают НДС (18%), стоимость поддонов, упаковки и погрузки на заводе.</t>
  </si>
  <si>
    <t>* Продукция уложена на деревянные поддоны, перетянута стреппинг лентой и упакована в термоусадочную пленку.</t>
  </si>
  <si>
    <t>* Наличие продукции в свободной продаже и сроки производства уточняйте в отделе продаж.</t>
  </si>
  <si>
    <t>* Усредненный вес. При отклонениях веса норма загрузки может меняться</t>
  </si>
  <si>
    <t xml:space="preserve">* Норма загрузки  - из расчёта еврофуры, полуприцеп 13,6м </t>
  </si>
  <si>
    <t>Цена за 1 м³ на самовывоз из г. Можайск</t>
  </si>
  <si>
    <t>31,5 м3/24 поддона</t>
  </si>
  <si>
    <t>33,75 м3/24 поддона</t>
  </si>
  <si>
    <t>28,125 м3/20 поддонов</t>
  </si>
  <si>
    <t>26,25 м3/20 поддонов</t>
  </si>
  <si>
    <t>В 2.0</t>
  </si>
  <si>
    <r>
      <t xml:space="preserve">Блоки стеновые </t>
    </r>
    <r>
      <rPr>
        <sz val="12"/>
        <color rgb="FFC00000"/>
        <rFont val="Calibri"/>
        <family val="2"/>
        <charset val="204"/>
      </rPr>
      <t>(ровные)</t>
    </r>
  </si>
  <si>
    <r>
      <t xml:space="preserve">Блоки стеновые звукоизоляционные </t>
    </r>
    <r>
      <rPr>
        <sz val="12"/>
        <color rgb="FFC00000"/>
        <rFont val="Calibri"/>
        <family val="2"/>
        <charset val="204"/>
      </rPr>
      <t>(ровные)</t>
    </r>
  </si>
  <si>
    <t>20 поддонов/28,8 м3</t>
  </si>
  <si>
    <t>19 поддонов/32,832 м3</t>
  </si>
  <si>
    <t>18 поддонов /32,4 м3</t>
  </si>
  <si>
    <t>17 поддонов/32,64 м3</t>
  </si>
  <si>
    <t>19 поддонов/31,92 м3</t>
  </si>
  <si>
    <t xml:space="preserve">Кладочные растворы, смеси и затирки </t>
  </si>
  <si>
    <t>Назначение</t>
  </si>
  <si>
    <t>Упак., кг</t>
  </si>
  <si>
    <t>На поддоне</t>
  </si>
  <si>
    <t>Теплоизоляционный кладочный раствор</t>
  </si>
  <si>
    <t xml:space="preserve">Perel TKS </t>
  </si>
  <si>
    <t>(усиленный)</t>
  </si>
  <si>
    <r>
      <t xml:space="preserve">Теплоизоляционный кладочный рас-р, применяется для кладки из поризованных блоков. (выход раствора </t>
    </r>
    <r>
      <rPr>
        <b/>
        <i/>
        <sz val="11"/>
        <color theme="1"/>
        <rFont val="Times New Roman"/>
        <family val="1"/>
        <charset val="204"/>
      </rPr>
      <t>25-28 литр./меш</t>
    </r>
    <r>
      <rPr>
        <i/>
        <sz val="11"/>
        <color theme="1"/>
        <rFont val="Times New Roman"/>
        <family val="1"/>
        <charset val="204"/>
      </rPr>
      <t xml:space="preserve">, коэффициент теплопроводности – </t>
    </r>
    <r>
      <rPr>
        <b/>
        <i/>
        <sz val="11"/>
        <color theme="1"/>
        <rFont val="Times New Roman"/>
        <family val="1"/>
        <charset val="204"/>
      </rPr>
      <t>0,20 Вт/м°С</t>
    </r>
    <r>
      <rPr>
        <i/>
        <sz val="11"/>
        <color theme="1"/>
        <rFont val="Times New Roman"/>
        <family val="1"/>
        <charset val="204"/>
      </rPr>
      <t>)</t>
    </r>
  </si>
  <si>
    <t>(экономичный)</t>
  </si>
  <si>
    <r>
      <t xml:space="preserve">Теплоизоляционный кладочный рас-р, применяется для кладки из поризованных блоков. (выход раствора </t>
    </r>
    <r>
      <rPr>
        <b/>
        <i/>
        <sz val="11"/>
        <color theme="1"/>
        <rFont val="Times New Roman"/>
        <family val="1"/>
        <charset val="204"/>
      </rPr>
      <t>28-30 литр./меш</t>
    </r>
    <r>
      <rPr>
        <i/>
        <sz val="11"/>
        <color theme="1"/>
        <rFont val="Times New Roman"/>
        <family val="1"/>
        <charset val="204"/>
      </rPr>
      <t xml:space="preserve">, коэффициент теплопроводности – </t>
    </r>
    <r>
      <rPr>
        <b/>
        <i/>
        <sz val="11"/>
        <color theme="1"/>
        <rFont val="Times New Roman"/>
        <family val="1"/>
        <charset val="204"/>
      </rPr>
      <t>0,18 Вт/м°С</t>
    </r>
    <r>
      <rPr>
        <i/>
        <sz val="11"/>
        <color theme="1"/>
        <rFont val="Times New Roman"/>
        <family val="1"/>
        <charset val="204"/>
      </rPr>
      <t>)</t>
    </r>
  </si>
  <si>
    <t>(эффективный)</t>
  </si>
  <si>
    <r>
      <t xml:space="preserve">Теплоизоляционный кладочный рас-р,применяется для кладки из поризованных блоков. (выход раствора </t>
    </r>
    <r>
      <rPr>
        <b/>
        <i/>
        <sz val="11"/>
        <color theme="1"/>
        <rFont val="Times New Roman"/>
        <family val="1"/>
        <charset val="204"/>
      </rPr>
      <t>28-30 литр./меш</t>
    </r>
    <r>
      <rPr>
        <i/>
        <sz val="11"/>
        <color theme="1"/>
        <rFont val="Times New Roman"/>
        <family val="1"/>
        <charset val="204"/>
      </rPr>
      <t xml:space="preserve">, коэффициент теплопроводности – </t>
    </r>
    <r>
      <rPr>
        <b/>
        <i/>
        <sz val="11"/>
        <color theme="1"/>
        <rFont val="Times New Roman"/>
        <family val="1"/>
        <charset val="204"/>
      </rPr>
      <t>0,17 Вт/м°С</t>
    </r>
    <r>
      <rPr>
        <i/>
        <sz val="11"/>
        <color theme="1"/>
        <rFont val="Times New Roman"/>
        <family val="1"/>
        <charset val="204"/>
      </rPr>
      <t>)</t>
    </r>
  </si>
  <si>
    <t>Цветные кладочные растворы</t>
  </si>
  <si>
    <t xml:space="preserve">Perel SL </t>
  </si>
  <si>
    <r>
      <t>«</t>
    </r>
    <r>
      <rPr>
        <i/>
        <sz val="11"/>
        <color theme="1"/>
        <rFont val="Times New Roman"/>
        <family val="1"/>
        <charset val="204"/>
      </rPr>
      <t>Perel SL</t>
    </r>
    <r>
      <rPr>
        <b/>
        <i/>
        <sz val="11"/>
        <color theme="1"/>
        <rFont val="Times New Roman"/>
        <family val="1"/>
        <charset val="204"/>
      </rPr>
      <t>»,</t>
    </r>
  </si>
  <si>
    <t>применяются для кладки кирпича с водопоглощением от 5 до 12 %.</t>
  </si>
  <si>
    <t>0001 супер-белая</t>
  </si>
  <si>
    <t>0005 белая</t>
  </si>
  <si>
    <t>0020 бежевая</t>
  </si>
  <si>
    <t>0025 кремово-бежевая</t>
  </si>
  <si>
    <t>0030 кремово-желтая</t>
  </si>
  <si>
    <t>0035 желтый</t>
  </si>
  <si>
    <t xml:space="preserve">0040 кремовая </t>
  </si>
  <si>
    <t>0045 светло-коричневая</t>
  </si>
  <si>
    <t>0010 серая</t>
  </si>
  <si>
    <t>0015 темно-серая</t>
  </si>
  <si>
    <t>0050 коричневая</t>
  </si>
  <si>
    <t>0055 шоколадная</t>
  </si>
  <si>
    <t>0060 красная</t>
  </si>
  <si>
    <t>0065 черная</t>
  </si>
  <si>
    <t xml:space="preserve">Perel VL </t>
  </si>
  <si>
    <r>
      <t>«</t>
    </r>
    <r>
      <rPr>
        <i/>
        <sz val="11"/>
        <color theme="1"/>
        <rFont val="Times New Roman"/>
        <family val="1"/>
        <charset val="204"/>
      </rPr>
      <t>Perel VL</t>
    </r>
    <r>
      <rPr>
        <b/>
        <i/>
        <sz val="11"/>
        <color theme="1"/>
        <rFont val="Times New Roman"/>
        <family val="1"/>
        <charset val="204"/>
      </rPr>
      <t>»,</t>
    </r>
  </si>
  <si>
    <t>применяются для кладки кирпича с водопоглощением от 5 до 15 %.</t>
  </si>
  <si>
    <t>0201 супер-белая</t>
  </si>
  <si>
    <t>0205 белая</t>
  </si>
  <si>
    <t>0220 бежевая</t>
  </si>
  <si>
    <t>0225 кремово-бежевая</t>
  </si>
  <si>
    <t>0230 кремово-желтая</t>
  </si>
  <si>
    <t>0235 желтый</t>
  </si>
  <si>
    <t>0240 кремовая</t>
  </si>
  <si>
    <t>0245 светло-коричневая</t>
  </si>
  <si>
    <t>0210 серая</t>
  </si>
  <si>
    <t>0215 темно-серая</t>
  </si>
  <si>
    <t>0250 коричневая</t>
  </si>
  <si>
    <t>0255 шоколадная</t>
  </si>
  <si>
    <t>0260 красная</t>
  </si>
  <si>
    <t>0265 черная</t>
  </si>
  <si>
    <t xml:space="preserve">Perel NL </t>
  </si>
  <si>
    <r>
      <t>«</t>
    </r>
    <r>
      <rPr>
        <i/>
        <sz val="11"/>
        <color theme="1"/>
        <rFont val="Times New Roman"/>
        <family val="1"/>
        <charset val="204"/>
      </rPr>
      <t>Perel NL</t>
    </r>
    <r>
      <rPr>
        <b/>
        <i/>
        <sz val="11"/>
        <color theme="1"/>
        <rFont val="Times New Roman"/>
        <family val="1"/>
        <charset val="204"/>
      </rPr>
      <t>»,</t>
    </r>
  </si>
  <si>
    <t>применяются для кладки кирпича с водопоглощением до 5 %.</t>
  </si>
  <si>
    <t>0101 супер-белая</t>
  </si>
  <si>
    <t>0105 белая</t>
  </si>
  <si>
    <t>0120 бежевая</t>
  </si>
  <si>
    <t>0125 кремово-бежевая</t>
  </si>
  <si>
    <t>0130 кремово-желтая</t>
  </si>
  <si>
    <t>0135 желтый</t>
  </si>
  <si>
    <t>0140 кремовая</t>
  </si>
  <si>
    <t>0145 светло-коричневая</t>
  </si>
  <si>
    <t>0110 серая</t>
  </si>
  <si>
    <t>0115 темно-серая</t>
  </si>
  <si>
    <t>0150 коричневая</t>
  </si>
  <si>
    <t>0155 шоколадная</t>
  </si>
  <si>
    <t>0160 красная</t>
  </si>
  <si>
    <t>0165 черная</t>
  </si>
  <si>
    <t>Цветные затирки</t>
  </si>
  <si>
    <t xml:space="preserve">Perel RL </t>
  </si>
  <si>
    <t>Декоративные затирочные смеси для натурального и искусственного камня, облицовочной плитки и термопанелей.</t>
  </si>
  <si>
    <t>Толщина шва до 30 мм.</t>
  </si>
  <si>
    <t>0410 серая</t>
  </si>
  <si>
    <t>0405 белая</t>
  </si>
  <si>
    <t>0415 темно-серая</t>
  </si>
  <si>
    <t>0420 бежевая</t>
  </si>
  <si>
    <t>0436 горчичная</t>
  </si>
  <si>
    <t>0437 медная</t>
  </si>
  <si>
    <t>0438 кирпичная</t>
  </si>
  <si>
    <t>0440 кремовая</t>
  </si>
  <si>
    <t>0445 светло-коричневая</t>
  </si>
  <si>
    <t>0450 коричневая</t>
  </si>
  <si>
    <t>0455 шоколадная</t>
  </si>
  <si>
    <t>0465 черная</t>
  </si>
  <si>
    <t>Прайс-Лист на газобетонные блоки ЕЗСМ</t>
  </si>
  <si>
    <t xml:space="preserve">       г. Егорьевск</t>
  </si>
  <si>
    <t>Кол-во шт. на паллете, высотой 250/200</t>
  </si>
  <si>
    <t>Цена за 1 м³ с доставкой в Москве и МО</t>
  </si>
  <si>
    <t>ЕЗСМ D400</t>
  </si>
  <si>
    <t>250/200</t>
  </si>
  <si>
    <t>128/160</t>
  </si>
  <si>
    <t>20 поддонов/30,0 м3</t>
  </si>
  <si>
    <t>120/150</t>
  </si>
  <si>
    <t>20 поддонов/37,5 м3</t>
  </si>
  <si>
    <t>96/120</t>
  </si>
  <si>
    <t>80/100</t>
  </si>
  <si>
    <t>64/80</t>
  </si>
  <si>
    <t>20 поддонов/40 м3</t>
  </si>
  <si>
    <t>48/60</t>
  </si>
  <si>
    <t>40/50</t>
  </si>
  <si>
    <t>32/40</t>
  </si>
  <si>
    <t>24/30</t>
  </si>
  <si>
    <t>ЕЗСМ D500</t>
  </si>
  <si>
    <t>18 поддонов/27 м3</t>
  </si>
  <si>
    <t>18 поддонов/33,75 м3</t>
  </si>
  <si>
    <t>18 поддонов/36 м3</t>
  </si>
  <si>
    <t>EЗСМ D600</t>
  </si>
  <si>
    <t>15 поддонов/22,5 м3</t>
  </si>
  <si>
    <t>15 поддонов/28,125 м3</t>
  </si>
  <si>
    <t>13 поддонов/26 м3</t>
  </si>
  <si>
    <t>Прайс-Лист на кладочные растворы, смеси и затирки PEREL</t>
  </si>
  <si>
    <t>Прайс-лист на виниловый сайдинг GL   AMERIKA</t>
  </si>
  <si>
    <t xml:space="preserve">Цена </t>
  </si>
  <si>
    <t>Газобетонные блоки ЕЗСМ</t>
  </si>
  <si>
    <t>действителен с 15.06.2015</t>
  </si>
  <si>
    <t>Переходник вертикального сайдинга</t>
  </si>
  <si>
    <t>Сливная планка</t>
  </si>
  <si>
    <r>
      <t>Стандартные цвета</t>
    </r>
    <r>
      <rPr>
        <sz val="36"/>
        <rFont val="Arial"/>
        <family val="2"/>
        <charset val="204"/>
      </rPr>
      <t>: бежевый, ванильный, желтый, персиковый, салатовый, серый, белый,  кремовый, голубой</t>
    </r>
  </si>
  <si>
    <t>Ширина профиля общаяя,
мм</t>
  </si>
  <si>
    <t>Ширина профиля полезная,мм</t>
  </si>
  <si>
    <t>Коэфф. расчета*</t>
  </si>
  <si>
    <r>
      <t xml:space="preserve">Цинк
</t>
    </r>
    <r>
      <rPr>
        <sz val="18"/>
        <rFont val="Arial"/>
        <family val="2"/>
        <charset val="204"/>
      </rPr>
      <t>(Zn 275 г/кв.м)</t>
    </r>
  </si>
  <si>
    <r>
      <t xml:space="preserve">РЕ
</t>
    </r>
    <r>
      <rPr>
        <sz val="18"/>
        <rFont val="Arial"/>
        <family val="2"/>
        <charset val="204"/>
      </rPr>
      <t>(Zn 275 г/кв.м.)</t>
    </r>
  </si>
  <si>
    <r>
      <t xml:space="preserve">PE dp®
</t>
    </r>
    <r>
      <rPr>
        <sz val="18"/>
        <rFont val="Arial"/>
        <family val="2"/>
        <charset val="204"/>
      </rPr>
      <t>(Zn 180 г/кв.м.)</t>
    </r>
  </si>
  <si>
    <r>
      <t xml:space="preserve">Print
</t>
    </r>
    <r>
      <rPr>
        <sz val="18"/>
        <rFont val="Arial"/>
        <family val="2"/>
        <charset val="204"/>
      </rPr>
      <t>(Zn 275 г/кв.м.)</t>
    </r>
  </si>
  <si>
    <r>
      <t xml:space="preserve">Print dp 
</t>
    </r>
    <r>
      <rPr>
        <sz val="18"/>
        <rFont val="Arial"/>
        <family val="2"/>
        <charset val="204"/>
      </rPr>
      <t>(Zn 275 г/кв.м.)</t>
    </r>
  </si>
  <si>
    <r>
      <t xml:space="preserve">Velur® 20
</t>
    </r>
    <r>
      <rPr>
        <sz val="18"/>
        <rFont val="Arial"/>
        <family val="2"/>
        <charset val="204"/>
      </rPr>
      <t>(ZA 265 г/кв.м.)</t>
    </r>
  </si>
  <si>
    <r>
      <t xml:space="preserve">Safari
</t>
    </r>
    <r>
      <rPr>
        <sz val="18"/>
        <rFont val="Arial"/>
        <family val="2"/>
        <charset val="204"/>
      </rPr>
      <t>(Zn 275 г/кв.м.)</t>
    </r>
  </si>
  <si>
    <r>
      <t xml:space="preserve">Quarzit lite
</t>
    </r>
    <r>
      <rPr>
        <sz val="18"/>
        <rFont val="Arial"/>
        <family val="2"/>
        <charset val="204"/>
      </rPr>
      <t>(ZA 265 г/кв.м.)</t>
    </r>
  </si>
  <si>
    <r>
      <t xml:space="preserve">Granite® HDX
</t>
    </r>
    <r>
      <rPr>
        <sz val="18"/>
        <rFont val="Arial"/>
        <family val="2"/>
        <charset val="204"/>
      </rPr>
      <t>(Zn 275 г/кв.м)</t>
    </r>
  </si>
  <si>
    <r>
      <t xml:space="preserve">Quarzit </t>
    </r>
    <r>
      <rPr>
        <b/>
        <sz val="18"/>
        <color indexed="10"/>
        <rFont val="Arial"/>
        <family val="2"/>
        <charset val="204"/>
      </rPr>
      <t xml:space="preserve">
</t>
    </r>
    <r>
      <rPr>
        <sz val="18"/>
        <rFont val="Arial"/>
        <family val="2"/>
        <charset val="204"/>
      </rPr>
      <t>(ZA 265 г/кв.м.)</t>
    </r>
  </si>
  <si>
    <r>
      <t xml:space="preserve">Quarzit Matt </t>
    </r>
    <r>
      <rPr>
        <b/>
        <sz val="18"/>
        <color indexed="10"/>
        <rFont val="Arial"/>
        <family val="2"/>
        <charset val="204"/>
      </rPr>
      <t xml:space="preserve">
</t>
    </r>
    <r>
      <rPr>
        <sz val="18"/>
        <rFont val="Arial"/>
        <family val="2"/>
        <charset val="204"/>
      </rPr>
      <t>(ZA 265 г/кв.м.)</t>
    </r>
  </si>
  <si>
    <r>
      <t xml:space="preserve">Solano® 
</t>
    </r>
    <r>
      <rPr>
        <b/>
        <sz val="18"/>
        <color indexed="10"/>
        <rFont val="Arial"/>
        <family val="2"/>
        <charset val="204"/>
      </rPr>
      <t>старая цена</t>
    </r>
    <r>
      <rPr>
        <b/>
        <sz val="18"/>
        <rFont val="Arial"/>
        <family val="2"/>
        <charset val="204"/>
      </rPr>
      <t xml:space="preserve">
</t>
    </r>
    <r>
      <rPr>
        <sz val="18"/>
        <rFont val="Arial"/>
        <family val="2"/>
        <charset val="204"/>
      </rPr>
      <t>(ZA 265 г/кв.м.)</t>
    </r>
  </si>
  <si>
    <t>Металлочерепица и фальцевая кровля</t>
  </si>
  <si>
    <t>Профилированный, плоский лист, штрипс и отмотка</t>
  </si>
  <si>
    <t>Металлический сайдинг</t>
  </si>
  <si>
    <t>Металлический штакетник</t>
  </si>
  <si>
    <t>Сопутствующий материал</t>
  </si>
  <si>
    <t>На заказы менее 50 кв.м. DRIPSTOP не наносится!</t>
  </si>
  <si>
    <t>Защитная плёнка (фиксированная цена)</t>
  </si>
  <si>
    <r>
      <t>Металлический штакетник</t>
    </r>
    <r>
      <rPr>
        <sz val="16"/>
        <rFont val="Arial"/>
        <family val="2"/>
        <charset val="204"/>
      </rPr>
      <t xml:space="preserve"> М и П-образный изготавливается в количестве, кратном 10-ти единицам.</t>
    </r>
  </si>
  <si>
    <t xml:space="preserve">Исключение составляет штакетник в покрытиях РЕ GL (цвет RAL3005,6005,8017), РЕ двс GL (цвет RAL3005,6005,8017) </t>
  </si>
  <si>
    <t>и Print GL (цвет Antique Dud и Light Wood) - в данных покрытиях штакетник изготавливается в любом количестве.</t>
  </si>
  <si>
    <t>14 дней</t>
  </si>
  <si>
    <t>Все цены на металлический штакетник указаны за 1 погонный метр.</t>
  </si>
  <si>
    <t>На заказы менее 25 кв.м. в покрытии Полиэстер 0,5 мм в цветах: RAL3005, RAL6005,</t>
  </si>
  <si>
    <t>Остатки при нарезке штрипса выставляются в счёт.</t>
  </si>
  <si>
    <t>RAL8017 на металлочерепицу, профнастил С8, С10, С20, С21 плоский лист - стандартные сроки</t>
  </si>
  <si>
    <t>Принимаем заказы на Блок-хаус и ЭкоБрус в покрытии под дерево без наценки в стандартные сроки в любом объеме.</t>
  </si>
  <si>
    <t>Фальц двойной стоячий - стоимость материала считается исходя из ширины 625 мм</t>
  </si>
  <si>
    <t>Кликфальц - стоимость материала считается исходя из ширины 542 мм</t>
  </si>
  <si>
    <t>Металлочерепица, Фальцевая Кровля, Профнастил, Металлический Сайдинг, Плоский Лист Grand Line®</t>
  </si>
  <si>
    <t>КЕРАМИЧЕСКИЕ КРУПНОФОРМАТНЫЕ КАМНИ POROTHERM / РОССИЯ                                                                                                              Прайс-лист действует с 01.04.2015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</si>
</sst>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#,##0&quot;р.&quot;;\-#,##0&quot;р.&quot;"/>
    <numFmt numFmtId="165" formatCode="_-* #,##0.00&quot;р.&quot;_-;\-* #,##0.00&quot;р.&quot;_-;_-* &quot;-&quot;??&quot;р.&quot;_-;_-@_-"/>
    <numFmt numFmtId="166" formatCode="#,##0&quot;р.&quot;"/>
    <numFmt numFmtId="167" formatCode="0.000"/>
    <numFmt numFmtId="168" formatCode="#,##0.000"/>
    <numFmt numFmtId="169" formatCode="_-* #,##0.00_р_._-;\-* #,##0.00_р_._-;_-* &quot;-&quot;??_р_._-;_-@_-"/>
    <numFmt numFmtId="170" formatCode="_-* #,##0_р_._-;\-* #,##0_р_._-;_-* &quot;-&quot;??_р_._-;_-@_-"/>
    <numFmt numFmtId="171" formatCode="0_ ;\-0\ "/>
  </numFmts>
  <fonts count="113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vertAlign val="superscript"/>
      <sz val="12"/>
      <color theme="1"/>
      <name val="Calibri"/>
      <family val="2"/>
      <charset val="204"/>
    </font>
    <font>
      <sz val="12"/>
      <color rgb="FF0070C0"/>
      <name val="Calibri"/>
      <family val="2"/>
      <charset val="204"/>
    </font>
    <font>
      <sz val="12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6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.9"/>
      <color rgb="FF0082D9"/>
      <name val="Arial"/>
      <family val="2"/>
      <charset val="204"/>
    </font>
    <font>
      <sz val="6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7"/>
      <color rgb="FF000000"/>
      <name val="Arial"/>
      <family val="2"/>
      <charset val="204"/>
    </font>
    <font>
      <sz val="6"/>
      <color rgb="FFFF000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i/>
      <sz val="10"/>
      <name val="Arial Cyr"/>
      <charset val="204"/>
    </font>
    <font>
      <b/>
      <i/>
      <sz val="9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6"/>
      <name val="Arial"/>
      <family val="2"/>
      <charset val="204"/>
    </font>
    <font>
      <sz val="36"/>
      <name val="Arial"/>
      <family val="2"/>
      <charset val="204"/>
    </font>
    <font>
      <b/>
      <sz val="16"/>
      <name val="Arial"/>
      <family val="2"/>
      <charset val="204"/>
    </font>
    <font>
      <b/>
      <sz val="28"/>
      <name val="Arial"/>
      <family val="2"/>
      <charset val="204"/>
    </font>
    <font>
      <sz val="28"/>
      <name val="Arial"/>
      <family val="2"/>
      <charset val="204"/>
    </font>
    <font>
      <b/>
      <sz val="36"/>
      <color indexed="10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24"/>
      <color indexed="10"/>
      <name val="Arial"/>
      <family val="2"/>
      <charset val="204"/>
    </font>
    <font>
      <b/>
      <sz val="36"/>
      <color indexed="9"/>
      <name val="Arial"/>
      <family val="2"/>
      <charset val="204"/>
    </font>
    <font>
      <sz val="48"/>
      <color theme="1"/>
      <name val="Calibri"/>
      <family val="2"/>
      <charset val="204"/>
      <scheme val="minor"/>
    </font>
    <font>
      <b/>
      <sz val="48"/>
      <color rgb="FFC00000"/>
      <name val="Calibri"/>
      <family val="2"/>
      <charset val="204"/>
      <scheme val="minor"/>
    </font>
    <font>
      <b/>
      <u/>
      <sz val="48"/>
      <color theme="10"/>
      <name val="Calibri"/>
      <family val="2"/>
      <charset val="204"/>
      <scheme val="minor"/>
    </font>
    <font>
      <b/>
      <sz val="16"/>
      <name val="Arial CYR"/>
      <family val="2"/>
      <charset val="204"/>
    </font>
    <font>
      <b/>
      <sz val="11"/>
      <name val="Arial Cyr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2"/>
      <name val="Arial Cyr"/>
      <charset val="204"/>
    </font>
    <font>
      <i/>
      <sz val="10"/>
      <name val="Arial Cyr"/>
      <family val="2"/>
      <charset val="204"/>
    </font>
    <font>
      <b/>
      <sz val="10"/>
      <name val="Arial Cyr"/>
      <family val="2"/>
      <charset val="204"/>
    </font>
    <font>
      <sz val="8"/>
      <color indexed="14"/>
      <name val="Arial"/>
      <family val="2"/>
      <charset val="204"/>
    </font>
    <font>
      <b/>
      <sz val="10"/>
      <color indexed="14"/>
      <name val="Arial Cyr"/>
      <family val="2"/>
      <charset val="204"/>
    </font>
    <font>
      <b/>
      <sz val="10"/>
      <color indexed="14"/>
      <name val="Arial"/>
      <family val="2"/>
      <charset val="204"/>
    </font>
    <font>
      <sz val="8"/>
      <name val="Arial Cyr"/>
      <charset val="204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  <charset val="204"/>
    </font>
    <font>
      <sz val="8"/>
      <color indexed="53"/>
      <name val="Arial"/>
      <family val="2"/>
      <charset val="204"/>
    </font>
    <font>
      <b/>
      <sz val="10"/>
      <color indexed="53"/>
      <name val="Arial Cyr"/>
      <family val="2"/>
      <charset val="204"/>
    </font>
    <font>
      <b/>
      <sz val="10"/>
      <color indexed="14"/>
      <name val="Arial Cyr"/>
    </font>
    <font>
      <b/>
      <sz val="10"/>
      <color indexed="10"/>
      <name val="Arial Cyr"/>
    </font>
    <font>
      <b/>
      <sz val="10"/>
      <color indexed="10"/>
      <name val="Arial Cyr"/>
      <charset val="204"/>
    </font>
    <font>
      <b/>
      <sz val="8"/>
      <color indexed="10"/>
      <name val="Arial Cyr"/>
    </font>
    <font>
      <b/>
      <sz val="8"/>
      <color indexed="10"/>
      <name val="Arial Cyr"/>
      <charset val="204"/>
    </font>
    <font>
      <sz val="12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"/>
      <family val="2"/>
      <charset val="204"/>
    </font>
    <font>
      <u/>
      <sz val="8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48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C0000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2"/>
      <color rgb="FFC0000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u/>
      <sz val="24"/>
      <color theme="1"/>
      <name val="Calibri"/>
      <family val="2"/>
      <charset val="204"/>
      <scheme val="minor"/>
    </font>
    <font>
      <b/>
      <u/>
      <sz val="24"/>
      <color theme="10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 Cyr"/>
      <charset val="204"/>
    </font>
    <font>
      <b/>
      <sz val="10"/>
      <color theme="1"/>
      <name val="Arial Cyr"/>
      <charset val="204"/>
    </font>
    <font>
      <b/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"/>
      <family val="2"/>
      <charset val="204"/>
    </font>
    <font>
      <sz val="9"/>
      <color indexed="6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10"/>
      <name val="Arial Cyr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36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20"/>
      <name val="Arial"/>
      <family val="2"/>
      <charset val="204"/>
    </font>
    <font>
      <b/>
      <sz val="19"/>
      <name val="Arial"/>
      <family val="2"/>
      <charset val="204"/>
    </font>
    <font>
      <sz val="2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8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1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8" fillId="0" borderId="0">
      <alignment horizontal="left"/>
    </xf>
    <xf numFmtId="0" fontId="32" fillId="0" borderId="0"/>
    <xf numFmtId="0" fontId="33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9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31" fillId="0" borderId="0"/>
    <xf numFmtId="0" fontId="31" fillId="0" borderId="0"/>
    <xf numFmtId="0" fontId="32" fillId="0" borderId="0"/>
  </cellStyleXfs>
  <cellXfs count="774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2" fillId="0" borderId="4" xfId="0" applyFont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0" fillId="0" borderId="0" xfId="0" applyBorder="1"/>
    <xf numFmtId="0" fontId="0" fillId="0" borderId="10" xfId="0" applyBorder="1"/>
    <xf numFmtId="0" fontId="3" fillId="4" borderId="3" xfId="0" applyFont="1" applyFill="1" applyBorder="1" applyAlignment="1">
      <alignment horizontal="center" vertical="center" wrapText="1"/>
    </xf>
    <xf numFmtId="164" fontId="4" fillId="0" borderId="3" xfId="2" applyNumberFormat="1" applyFont="1" applyBorder="1" applyAlignment="1">
      <alignment horizontal="center" vertical="center" wrapText="1"/>
    </xf>
    <xf numFmtId="164" fontId="4" fillId="2" borderId="3" xfId="2" applyNumberFormat="1" applyFont="1" applyFill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2" borderId="3" xfId="0" applyNumberFormat="1" applyFont="1" applyFill="1" applyBorder="1" applyAlignment="1">
      <alignment horizontal="center" vertical="center" wrapText="1"/>
    </xf>
    <xf numFmtId="166" fontId="4" fillId="0" borderId="3" xfId="0" applyNumberFormat="1" applyFont="1" applyFill="1" applyBorder="1" applyAlignment="1">
      <alignment horizontal="center" vertical="center" wrapText="1"/>
    </xf>
    <xf numFmtId="0" fontId="14" fillId="0" borderId="0" xfId="0" applyFont="1"/>
    <xf numFmtId="0" fontId="3" fillId="4" borderId="3" xfId="0" applyFont="1" applyFill="1" applyBorder="1" applyAlignment="1">
      <alignment horizontal="center" vertical="center" wrapText="1"/>
    </xf>
    <xf numFmtId="0" fontId="15" fillId="0" borderId="0" xfId="1" applyFont="1"/>
    <xf numFmtId="0" fontId="17" fillId="0" borderId="0" xfId="0" applyFont="1"/>
    <xf numFmtId="0" fontId="19" fillId="0" borderId="0" xfId="0" applyFont="1"/>
    <xf numFmtId="0" fontId="20" fillId="0" borderId="0" xfId="0" applyFont="1" applyAlignment="1">
      <alignment horizontal="right" vertical="center"/>
    </xf>
    <xf numFmtId="0" fontId="20" fillId="0" borderId="0" xfId="0" applyFont="1" applyAlignment="1"/>
    <xf numFmtId="0" fontId="0" fillId="0" borderId="0" xfId="0" applyAlignment="1"/>
    <xf numFmtId="0" fontId="22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7" fillId="5" borderId="18" xfId="4" applyFont="1" applyFill="1" applyBorder="1" applyAlignment="1">
      <alignment vertical="top" wrapText="1"/>
    </xf>
    <xf numFmtId="2" fontId="27" fillId="5" borderId="3" xfId="0" applyNumberFormat="1" applyFont="1" applyFill="1" applyBorder="1" applyAlignment="1">
      <alignment horizontal="right" vertical="top" wrapText="1"/>
    </xf>
    <xf numFmtId="0" fontId="0" fillId="5" borderId="0" xfId="0" applyFill="1" applyAlignment="1">
      <alignment wrapText="1"/>
    </xf>
    <xf numFmtId="0" fontId="26" fillId="5" borderId="18" xfId="4" applyFont="1" applyFill="1" applyBorder="1" applyAlignment="1">
      <alignment vertical="top" wrapText="1"/>
    </xf>
    <xf numFmtId="0" fontId="29" fillId="0" borderId="19" xfId="0" applyFont="1" applyBorder="1" applyAlignment="1">
      <alignment horizontal="left" vertical="center" wrapText="1"/>
    </xf>
    <xf numFmtId="2" fontId="27" fillId="0" borderId="3" xfId="0" applyNumberFormat="1" applyFont="1" applyBorder="1" applyAlignment="1">
      <alignment horizontal="right" vertical="top" wrapText="1"/>
    </xf>
    <xf numFmtId="0" fontId="29" fillId="0" borderId="18" xfId="0" applyFont="1" applyBorder="1" applyAlignment="1">
      <alignment horizontal="left" vertical="center" wrapText="1"/>
    </xf>
    <xf numFmtId="0" fontId="30" fillId="5" borderId="18" xfId="4" applyFont="1" applyFill="1" applyBorder="1" applyAlignment="1">
      <alignment vertical="top" wrapText="1"/>
    </xf>
    <xf numFmtId="2" fontId="30" fillId="5" borderId="3" xfId="0" applyNumberFormat="1" applyFont="1" applyFill="1" applyBorder="1" applyAlignment="1">
      <alignment horizontal="right" vertical="top" wrapText="1"/>
    </xf>
    <xf numFmtId="0" fontId="31" fillId="0" borderId="0" xfId="0" applyFont="1" applyAlignment="1">
      <alignment vertical="center"/>
    </xf>
    <xf numFmtId="0" fontId="28" fillId="0" borderId="0" xfId="5" applyFont="1" applyAlignment="1">
      <alignment vertical="center"/>
    </xf>
    <xf numFmtId="4" fontId="28" fillId="0" borderId="0" xfId="5" applyNumberFormat="1" applyFont="1" applyAlignment="1">
      <alignment vertical="center"/>
    </xf>
    <xf numFmtId="3" fontId="28" fillId="0" borderId="0" xfId="5" applyNumberFormat="1" applyFont="1" applyAlignment="1">
      <alignment vertical="center"/>
    </xf>
    <xf numFmtId="0" fontId="34" fillId="0" borderId="0" xfId="0" applyFont="1" applyAlignment="1">
      <alignment vertical="center"/>
    </xf>
    <xf numFmtId="3" fontId="36" fillId="0" borderId="0" xfId="0" applyNumberFormat="1" applyFont="1" applyBorder="1" applyAlignment="1">
      <alignment horizontal="right" vertical="center" wrapText="1"/>
    </xf>
    <xf numFmtId="14" fontId="35" fillId="0" borderId="0" xfId="0" applyNumberFormat="1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1" fontId="38" fillId="0" borderId="29" xfId="0" applyNumberFormat="1" applyFont="1" applyFill="1" applyBorder="1" applyAlignment="1">
      <alignment horizontal="center" vertical="center" wrapText="1"/>
    </xf>
    <xf numFmtId="1" fontId="35" fillId="0" borderId="29" xfId="0" applyNumberFormat="1" applyFont="1" applyFill="1" applyBorder="1" applyAlignment="1" applyProtection="1">
      <alignment horizontal="center" vertical="center"/>
    </xf>
    <xf numFmtId="0" fontId="38" fillId="0" borderId="0" xfId="0" applyFont="1" applyFill="1" applyAlignment="1">
      <alignment vertical="center"/>
    </xf>
    <xf numFmtId="0" fontId="35" fillId="0" borderId="3" xfId="0" applyFont="1" applyFill="1" applyBorder="1" applyAlignment="1">
      <alignment horizontal="center" vertical="center"/>
    </xf>
    <xf numFmtId="1" fontId="35" fillId="0" borderId="3" xfId="0" applyNumberFormat="1" applyFont="1" applyBorder="1" applyAlignment="1">
      <alignment horizontal="center" vertical="center"/>
    </xf>
    <xf numFmtId="1" fontId="38" fillId="0" borderId="32" xfId="0" applyNumberFormat="1" applyFont="1" applyFill="1" applyBorder="1" applyAlignment="1">
      <alignment horizontal="center" vertical="center"/>
    </xf>
    <xf numFmtId="1" fontId="35" fillId="0" borderId="32" xfId="0" applyNumberFormat="1" applyFont="1" applyFill="1" applyBorder="1" applyAlignment="1" applyProtection="1">
      <alignment horizontal="center" vertical="center"/>
    </xf>
    <xf numFmtId="1" fontId="38" fillId="0" borderId="21" xfId="0" applyNumberFormat="1" applyFont="1" applyFill="1" applyBorder="1" applyAlignment="1">
      <alignment horizontal="center" vertical="center" wrapText="1"/>
    </xf>
    <xf numFmtId="1" fontId="38" fillId="0" borderId="32" xfId="0" applyNumberFormat="1" applyFont="1" applyFill="1" applyBorder="1" applyAlignment="1">
      <alignment horizontal="center" vertical="center" wrapText="1"/>
    </xf>
    <xf numFmtId="1" fontId="35" fillId="0" borderId="3" xfId="0" applyNumberFormat="1" applyFont="1" applyFill="1" applyBorder="1" applyAlignment="1" applyProtection="1">
      <alignment horizontal="center" vertical="center"/>
    </xf>
    <xf numFmtId="1" fontId="38" fillId="0" borderId="33" xfId="0" applyNumberFormat="1" applyFont="1" applyFill="1" applyBorder="1" applyAlignment="1">
      <alignment horizontal="center" vertical="center"/>
    </xf>
    <xf numFmtId="1" fontId="38" fillId="0" borderId="29" xfId="0" applyNumberFormat="1" applyFont="1" applyFill="1" applyBorder="1" applyAlignment="1">
      <alignment horizontal="center" vertical="center"/>
    </xf>
    <xf numFmtId="1" fontId="38" fillId="0" borderId="30" xfId="0" applyNumberFormat="1" applyFont="1" applyFill="1" applyBorder="1" applyAlignment="1">
      <alignment horizontal="center" vertical="center" wrapText="1"/>
    </xf>
    <xf numFmtId="1" fontId="35" fillId="0" borderId="21" xfId="3" applyNumberFormat="1" applyFont="1" applyFill="1" applyBorder="1" applyAlignment="1" applyProtection="1">
      <alignment horizontal="center" vertical="center"/>
    </xf>
    <xf numFmtId="1" fontId="38" fillId="0" borderId="34" xfId="0" applyNumberFormat="1" applyFont="1" applyFill="1" applyBorder="1" applyAlignment="1">
      <alignment horizontal="center" vertical="center"/>
    </xf>
    <xf numFmtId="1" fontId="35" fillId="0" borderId="33" xfId="0" applyNumberFormat="1" applyFont="1" applyFill="1" applyBorder="1" applyAlignment="1" applyProtection="1">
      <alignment horizontal="center" vertical="center"/>
    </xf>
    <xf numFmtId="1" fontId="35" fillId="0" borderId="21" xfId="0" applyNumberFormat="1" applyFont="1" applyFill="1" applyBorder="1" applyAlignment="1" applyProtection="1">
      <alignment horizontal="center" vertical="center"/>
    </xf>
    <xf numFmtId="0" fontId="38" fillId="0" borderId="4" xfId="0" applyFont="1" applyFill="1" applyBorder="1" applyAlignment="1">
      <alignment vertical="center"/>
    </xf>
    <xf numFmtId="1" fontId="38" fillId="0" borderId="22" xfId="0" applyNumberFormat="1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 applyProtection="1">
      <alignment horizontal="center" vertical="center"/>
    </xf>
    <xf numFmtId="1" fontId="35" fillId="0" borderId="5" xfId="0" applyNumberFormat="1" applyFont="1" applyFill="1" applyBorder="1" applyAlignment="1" applyProtection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167" fontId="35" fillId="0" borderId="3" xfId="0" applyNumberFormat="1" applyFont="1" applyFill="1" applyBorder="1" applyAlignment="1">
      <alignment horizontal="center" vertical="center"/>
    </xf>
    <xf numFmtId="1" fontId="35" fillId="0" borderId="3" xfId="0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35" fillId="0" borderId="0" xfId="0" applyFont="1" applyBorder="1" applyAlignment="1">
      <alignment horizontal="center" vertical="center"/>
    </xf>
    <xf numFmtId="2" fontId="35" fillId="0" borderId="0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2" fontId="38" fillId="0" borderId="0" xfId="0" applyNumberFormat="1" applyFont="1" applyFill="1" applyBorder="1" applyAlignment="1">
      <alignment vertical="center" wrapText="1"/>
    </xf>
    <xf numFmtId="1" fontId="35" fillId="0" borderId="0" xfId="0" applyNumberFormat="1" applyFont="1" applyFill="1" applyBorder="1" applyAlignment="1">
      <alignment vertical="center" wrapText="1"/>
    </xf>
    <xf numFmtId="0" fontId="35" fillId="0" borderId="0" xfId="6" applyFont="1" applyAlignment="1">
      <alignment vertical="center"/>
    </xf>
    <xf numFmtId="0" fontId="31" fillId="0" borderId="0" xfId="0" applyFont="1" applyBorder="1" applyAlignment="1">
      <alignment vertical="center"/>
    </xf>
    <xf numFmtId="2" fontId="35" fillId="0" borderId="0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39" fillId="0" borderId="0" xfId="6" applyFont="1" applyAlignment="1">
      <alignment vertical="center"/>
    </xf>
    <xf numFmtId="0" fontId="42" fillId="0" borderId="0" xfId="5" applyFont="1" applyAlignment="1">
      <alignment vertical="center"/>
    </xf>
    <xf numFmtId="4" fontId="42" fillId="0" borderId="0" xfId="5" applyNumberFormat="1" applyFont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6" applyFont="1" applyBorder="1" applyAlignment="1">
      <alignment vertical="center"/>
    </xf>
    <xf numFmtId="0" fontId="35" fillId="0" borderId="0" xfId="5" applyFont="1" applyAlignment="1">
      <alignment vertical="center"/>
    </xf>
    <xf numFmtId="4" fontId="35" fillId="0" borderId="0" xfId="5" applyNumberFormat="1" applyFont="1" applyAlignment="1">
      <alignment vertical="center"/>
    </xf>
    <xf numFmtId="3" fontId="35" fillId="0" borderId="0" xfId="5" applyNumberFormat="1" applyFont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horizontal="center" vertical="center"/>
    </xf>
    <xf numFmtId="4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39" fillId="0" borderId="0" xfId="0" applyFont="1" applyFill="1" applyBorder="1" applyAlignment="1">
      <alignment vertical="center"/>
    </xf>
    <xf numFmtId="9" fontId="44" fillId="0" borderId="0" xfId="0" applyNumberFormat="1" applyFont="1" applyFill="1" applyBorder="1" applyAlignment="1">
      <alignment vertical="center" wrapText="1"/>
    </xf>
    <xf numFmtId="0" fontId="39" fillId="0" borderId="0" xfId="6" applyFont="1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3" fontId="35" fillId="0" borderId="0" xfId="6" applyNumberFormat="1" applyFont="1" applyBorder="1" applyAlignment="1">
      <alignment horizontal="center" vertical="center" wrapText="1"/>
    </xf>
    <xf numFmtId="49" fontId="35" fillId="0" borderId="0" xfId="6" applyNumberFormat="1" applyFont="1" applyBorder="1" applyAlignment="1">
      <alignment horizontal="center" vertical="center" wrapText="1"/>
    </xf>
    <xf numFmtId="49" fontId="35" fillId="0" borderId="0" xfId="0" applyNumberFormat="1" applyFont="1" applyBorder="1" applyAlignment="1">
      <alignment horizontal="center" vertical="center" wrapText="1"/>
    </xf>
    <xf numFmtId="0" fontId="35" fillId="0" borderId="0" xfId="5" applyFont="1" applyBorder="1" applyAlignment="1">
      <alignment horizontal="center" vertical="center"/>
    </xf>
    <xf numFmtId="2" fontId="35" fillId="0" borderId="0" xfId="5" applyNumberFormat="1" applyFont="1" applyBorder="1" applyAlignment="1">
      <alignment horizontal="center" vertical="center"/>
    </xf>
    <xf numFmtId="0" fontId="35" fillId="0" borderId="0" xfId="5" applyFont="1" applyAlignment="1">
      <alignment horizontal="left" vertical="center"/>
    </xf>
    <xf numFmtId="0" fontId="31" fillId="0" borderId="0" xfId="0" applyFont="1"/>
    <xf numFmtId="0" fontId="28" fillId="0" borderId="0" xfId="5" applyFont="1"/>
    <xf numFmtId="4" fontId="28" fillId="0" borderId="0" xfId="5" applyNumberFormat="1" applyFont="1"/>
    <xf numFmtId="3" fontId="28" fillId="0" borderId="0" xfId="5" applyNumberFormat="1" applyFont="1"/>
    <xf numFmtId="0" fontId="31" fillId="0" borderId="0" xfId="0" applyFont="1" applyFill="1"/>
    <xf numFmtId="0" fontId="28" fillId="0" borderId="0" xfId="5" applyFont="1" applyFill="1"/>
    <xf numFmtId="4" fontId="28" fillId="0" borderId="0" xfId="5" applyNumberFormat="1" applyFont="1" applyFill="1"/>
    <xf numFmtId="3" fontId="28" fillId="0" borderId="0" xfId="5" applyNumberFormat="1" applyFont="1" applyFill="1"/>
    <xf numFmtId="0" fontId="31" fillId="0" borderId="0" xfId="0" applyFont="1" applyFill="1" applyAlignment="1">
      <alignment vertical="center"/>
    </xf>
    <xf numFmtId="0" fontId="28" fillId="0" borderId="0" xfId="5" applyFont="1" applyFill="1" applyAlignment="1">
      <alignment vertical="center"/>
    </xf>
    <xf numFmtId="4" fontId="28" fillId="0" borderId="0" xfId="5" applyNumberFormat="1" applyFont="1" applyFill="1" applyAlignment="1">
      <alignment vertical="center"/>
    </xf>
    <xf numFmtId="3" fontId="28" fillId="0" borderId="0" xfId="5" applyNumberFormat="1" applyFont="1" applyFill="1" applyAlignment="1">
      <alignment vertical="center"/>
    </xf>
    <xf numFmtId="0" fontId="45" fillId="0" borderId="0" xfId="0" applyFont="1"/>
    <xf numFmtId="0" fontId="47" fillId="0" borderId="0" xfId="1" applyFont="1" applyAlignment="1">
      <alignment horizontal="left" vertic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vertical="center"/>
    </xf>
    <xf numFmtId="2" fontId="28" fillId="0" borderId="0" xfId="0" applyNumberFormat="1" applyFont="1"/>
    <xf numFmtId="0" fontId="31" fillId="0" borderId="0" xfId="8"/>
    <xf numFmtId="0" fontId="48" fillId="0" borderId="0" xfId="0" applyFont="1" applyBorder="1" applyAlignment="1">
      <alignment horizontal="left" vertical="top"/>
    </xf>
    <xf numFmtId="0" fontId="28" fillId="0" borderId="35" xfId="0" applyFont="1" applyBorder="1"/>
    <xf numFmtId="0" fontId="52" fillId="0" borderId="39" xfId="0" applyFont="1" applyBorder="1" applyAlignment="1">
      <alignment horizontal="center" vertical="center"/>
    </xf>
    <xf numFmtId="0" fontId="52" fillId="0" borderId="40" xfId="0" applyFont="1" applyBorder="1" applyAlignment="1">
      <alignment horizontal="center" vertical="center"/>
    </xf>
    <xf numFmtId="0" fontId="53" fillId="0" borderId="41" xfId="0" applyFont="1" applyBorder="1" applyAlignment="1">
      <alignment horizontal="center" vertical="center"/>
    </xf>
    <xf numFmtId="0" fontId="53" fillId="0" borderId="42" xfId="0" applyFont="1" applyBorder="1" applyAlignment="1">
      <alignment horizontal="center" vertical="center" wrapText="1"/>
    </xf>
    <xf numFmtId="0" fontId="55" fillId="6" borderId="0" xfId="0" applyFont="1" applyFill="1" applyAlignment="1">
      <alignment wrapText="1"/>
    </xf>
    <xf numFmtId="0" fontId="56" fillId="6" borderId="22" xfId="0" applyFont="1" applyFill="1" applyBorder="1" applyAlignment="1">
      <alignment horizontal="left" vertical="center"/>
    </xf>
    <xf numFmtId="0" fontId="56" fillId="6" borderId="26" xfId="0" applyFont="1" applyFill="1" applyBorder="1" applyAlignment="1">
      <alignment horizontal="left" vertical="center" wrapText="1"/>
    </xf>
    <xf numFmtId="0" fontId="57" fillId="6" borderId="26" xfId="0" applyFont="1" applyFill="1" applyBorder="1" applyAlignment="1">
      <alignment horizontal="center" vertical="center" wrapText="1"/>
    </xf>
    <xf numFmtId="2" fontId="57" fillId="6" borderId="26" xfId="0" applyNumberFormat="1" applyFont="1" applyFill="1" applyBorder="1" applyAlignment="1">
      <alignment horizontal="center" vertical="center" wrapText="1"/>
    </xf>
    <xf numFmtId="0" fontId="28" fillId="6" borderId="0" xfId="0" applyFont="1" applyFill="1"/>
    <xf numFmtId="0" fontId="58" fillId="6" borderId="3" xfId="9" applyFont="1" applyFill="1" applyBorder="1" applyAlignment="1">
      <alignment horizontal="center"/>
    </xf>
    <xf numFmtId="0" fontId="58" fillId="6" borderId="3" xfId="9" applyFont="1" applyFill="1" applyBorder="1"/>
    <xf numFmtId="0" fontId="59" fillId="6" borderId="3" xfId="0" applyFont="1" applyFill="1" applyBorder="1" applyAlignment="1">
      <alignment horizontal="center" vertical="center" wrapText="1"/>
    </xf>
    <xf numFmtId="0" fontId="60" fillId="6" borderId="3" xfId="0" applyFont="1" applyFill="1" applyBorder="1" applyAlignment="1">
      <alignment horizontal="center" vertical="center" wrapText="1"/>
    </xf>
    <xf numFmtId="4" fontId="28" fillId="0" borderId="3" xfId="0" applyNumberFormat="1" applyFont="1" applyBorder="1" applyAlignment="1">
      <alignment horizontal="center"/>
    </xf>
    <xf numFmtId="0" fontId="61" fillId="6" borderId="0" xfId="8" applyFont="1" applyFill="1"/>
    <xf numFmtId="0" fontId="56" fillId="6" borderId="3" xfId="0" applyFont="1" applyFill="1" applyBorder="1" applyAlignment="1">
      <alignment horizontal="left" vertical="center"/>
    </xf>
    <xf numFmtId="0" fontId="56" fillId="6" borderId="3" xfId="0" applyFont="1" applyFill="1" applyBorder="1" applyAlignment="1">
      <alignment horizontal="left" vertical="center" wrapText="1"/>
    </xf>
    <xf numFmtId="0" fontId="57" fillId="6" borderId="3" xfId="0" applyFont="1" applyFill="1" applyBorder="1" applyAlignment="1">
      <alignment horizontal="center" vertical="center" wrapText="1"/>
    </xf>
    <xf numFmtId="0" fontId="57" fillId="6" borderId="22" xfId="0" applyFont="1" applyFill="1" applyBorder="1" applyAlignment="1">
      <alignment horizontal="center" vertical="center" wrapText="1"/>
    </xf>
    <xf numFmtId="2" fontId="60" fillId="6" borderId="26" xfId="0" applyNumberFormat="1" applyFont="1" applyFill="1" applyBorder="1" applyAlignment="1">
      <alignment horizontal="center" vertical="center" wrapText="1"/>
    </xf>
    <xf numFmtId="0" fontId="28" fillId="0" borderId="0" xfId="0" applyFont="1" applyFill="1"/>
    <xf numFmtId="0" fontId="58" fillId="6" borderId="22" xfId="9" applyFont="1" applyFill="1" applyBorder="1"/>
    <xf numFmtId="0" fontId="59" fillId="6" borderId="26" xfId="0" applyFont="1" applyFill="1" applyBorder="1" applyAlignment="1">
      <alignment horizontal="center" vertical="center" wrapText="1"/>
    </xf>
    <xf numFmtId="0" fontId="62" fillId="0" borderId="0" xfId="0" applyFont="1" applyAlignment="1">
      <alignment wrapText="1"/>
    </xf>
    <xf numFmtId="0" fontId="56" fillId="6" borderId="22" xfId="0" applyFont="1" applyFill="1" applyBorder="1" applyAlignment="1">
      <alignment horizontal="left" vertical="center" wrapText="1"/>
    </xf>
    <xf numFmtId="0" fontId="62" fillId="6" borderId="0" xfId="0" applyFont="1" applyFill="1" applyAlignment="1">
      <alignment wrapText="1"/>
    </xf>
    <xf numFmtId="0" fontId="63" fillId="6" borderId="27" xfId="0" applyFont="1" applyFill="1" applyBorder="1" applyAlignment="1">
      <alignment vertical="center"/>
    </xf>
    <xf numFmtId="0" fontId="63" fillId="6" borderId="20" xfId="0" applyFont="1" applyFill="1" applyBorder="1" applyAlignment="1">
      <alignment vertical="center"/>
    </xf>
    <xf numFmtId="0" fontId="59" fillId="6" borderId="5" xfId="0" applyFont="1" applyFill="1" applyBorder="1" applyAlignment="1">
      <alignment horizontal="center" vertical="center" wrapText="1"/>
    </xf>
    <xf numFmtId="0" fontId="63" fillId="6" borderId="22" xfId="0" applyFont="1" applyFill="1" applyBorder="1" applyAlignment="1">
      <alignment vertical="center"/>
    </xf>
    <xf numFmtId="0" fontId="63" fillId="6" borderId="26" xfId="0" applyFont="1" applyFill="1" applyBorder="1" applyAlignment="1">
      <alignment vertical="center"/>
    </xf>
    <xf numFmtId="0" fontId="56" fillId="0" borderId="22" xfId="0" applyFont="1" applyFill="1" applyBorder="1" applyAlignment="1">
      <alignment vertical="center"/>
    </xf>
    <xf numFmtId="0" fontId="0" fillId="0" borderId="26" xfId="0" applyBorder="1" applyAlignment="1"/>
    <xf numFmtId="0" fontId="56" fillId="0" borderId="26" xfId="0" applyFont="1" applyFill="1" applyBorder="1" applyAlignment="1">
      <alignment vertical="center" wrapText="1"/>
    </xf>
    <xf numFmtId="0" fontId="58" fillId="0" borderId="3" xfId="9" applyFont="1" applyFill="1" applyBorder="1" applyAlignment="1">
      <alignment horizontal="center"/>
    </xf>
    <xf numFmtId="0" fontId="58" fillId="0" borderId="26" xfId="9" applyFont="1" applyFill="1" applyBorder="1"/>
    <xf numFmtId="0" fontId="28" fillId="0" borderId="3" xfId="0" applyFont="1" applyFill="1" applyBorder="1" applyAlignment="1">
      <alignment horizontal="center" vertical="center"/>
    </xf>
    <xf numFmtId="0" fontId="56" fillId="0" borderId="22" xfId="0" applyFont="1" applyFill="1" applyBorder="1" applyAlignment="1">
      <alignment horizontal="left" vertical="center"/>
    </xf>
    <xf numFmtId="2" fontId="28" fillId="6" borderId="26" xfId="0" applyNumberFormat="1" applyFont="1" applyFill="1" applyBorder="1" applyAlignment="1">
      <alignment horizontal="center" vertical="center"/>
    </xf>
    <xf numFmtId="0" fontId="58" fillId="6" borderId="26" xfId="9" applyFont="1" applyFill="1" applyBorder="1"/>
    <xf numFmtId="0" fontId="28" fillId="6" borderId="3" xfId="0" applyFont="1" applyFill="1" applyBorder="1" applyAlignment="1">
      <alignment horizontal="center" vertical="center"/>
    </xf>
    <xf numFmtId="0" fontId="56" fillId="0" borderId="30" xfId="8" applyFont="1" applyFill="1" applyBorder="1" applyAlignment="1">
      <alignment vertical="center"/>
    </xf>
    <xf numFmtId="0" fontId="56" fillId="0" borderId="26" xfId="8" applyFont="1" applyFill="1" applyBorder="1" applyAlignment="1">
      <alignment vertical="center"/>
    </xf>
    <xf numFmtId="0" fontId="61" fillId="0" borderId="3" xfId="8" applyFont="1" applyBorder="1" applyAlignment="1">
      <alignment horizontal="center"/>
    </xf>
    <xf numFmtId="0" fontId="61" fillId="0" borderId="3" xfId="8" applyFont="1" applyBorder="1"/>
    <xf numFmtId="0" fontId="61" fillId="0" borderId="3" xfId="8" applyFont="1" applyFill="1" applyBorder="1" applyAlignment="1">
      <alignment horizontal="center" vertical="center"/>
    </xf>
    <xf numFmtId="0" fontId="61" fillId="0" borderId="3" xfId="10" applyFont="1" applyFill="1" applyBorder="1" applyAlignment="1">
      <alignment horizontal="center" vertical="center"/>
    </xf>
    <xf numFmtId="0" fontId="31" fillId="0" borderId="0" xfId="8" applyFill="1"/>
    <xf numFmtId="0" fontId="61" fillId="0" borderId="3" xfId="8" applyFont="1" applyFill="1" applyBorder="1"/>
    <xf numFmtId="0" fontId="61" fillId="0" borderId="3" xfId="10" applyFont="1" applyFill="1" applyBorder="1" applyAlignment="1">
      <alignment horizontal="center"/>
    </xf>
    <xf numFmtId="0" fontId="61" fillId="0" borderId="3" xfId="10" applyFont="1" applyFill="1" applyBorder="1"/>
    <xf numFmtId="0" fontId="61" fillId="0" borderId="4" xfId="10" applyFont="1" applyFill="1" applyBorder="1" applyAlignment="1">
      <alignment horizontal="center"/>
    </xf>
    <xf numFmtId="0" fontId="61" fillId="0" borderId="4" xfId="10" applyFont="1" applyFill="1" applyBorder="1"/>
    <xf numFmtId="0" fontId="61" fillId="0" borderId="4" xfId="10" applyFont="1" applyFill="1" applyBorder="1" applyAlignment="1">
      <alignment horizontal="center" vertical="center"/>
    </xf>
    <xf numFmtId="4" fontId="28" fillId="0" borderId="4" xfId="0" applyNumberFormat="1" applyFont="1" applyBorder="1" applyAlignment="1">
      <alignment horizontal="center"/>
    </xf>
    <xf numFmtId="0" fontId="56" fillId="5" borderId="22" xfId="8" applyFont="1" applyFill="1" applyBorder="1" applyAlignment="1">
      <alignment vertical="center"/>
    </xf>
    <xf numFmtId="0" fontId="56" fillId="5" borderId="26" xfId="8" applyFont="1" applyFill="1" applyBorder="1" applyAlignment="1">
      <alignment vertical="center"/>
    </xf>
    <xf numFmtId="4" fontId="28" fillId="5" borderId="26" xfId="0" applyNumberFormat="1" applyFont="1" applyFill="1" applyBorder="1" applyAlignment="1">
      <alignment horizontal="center"/>
    </xf>
    <xf numFmtId="0" fontId="61" fillId="0" borderId="5" xfId="8" applyFont="1" applyBorder="1" applyAlignment="1">
      <alignment horizontal="center"/>
    </xf>
    <xf numFmtId="0" fontId="61" fillId="0" borderId="5" xfId="8" applyFont="1" applyBorder="1"/>
    <xf numFmtId="0" fontId="61" fillId="0" borderId="5" xfId="8" applyFont="1" applyFill="1" applyBorder="1" applyAlignment="1">
      <alignment horizontal="center" vertical="center"/>
    </xf>
    <xf numFmtId="4" fontId="28" fillId="0" borderId="5" xfId="0" applyNumberFormat="1" applyFont="1" applyBorder="1" applyAlignment="1">
      <alignment horizontal="center"/>
    </xf>
    <xf numFmtId="0" fontId="61" fillId="0" borderId="3" xfId="10" applyFont="1" applyBorder="1"/>
    <xf numFmtId="0" fontId="61" fillId="0" borderId="22" xfId="10" applyFont="1" applyFill="1" applyBorder="1" applyAlignment="1">
      <alignment horizontal="center" vertical="center"/>
    </xf>
    <xf numFmtId="0" fontId="61" fillId="0" borderId="26" xfId="10" applyFont="1" applyFill="1" applyBorder="1" applyAlignment="1">
      <alignment horizontal="center" vertical="center"/>
    </xf>
    <xf numFmtId="4" fontId="28" fillId="0" borderId="26" xfId="0" applyNumberFormat="1" applyFont="1" applyBorder="1" applyAlignment="1">
      <alignment horizontal="center"/>
    </xf>
    <xf numFmtId="0" fontId="58" fillId="0" borderId="3" xfId="9" applyFont="1" applyFill="1" applyBorder="1"/>
    <xf numFmtId="2" fontId="28" fillId="0" borderId="26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6" borderId="0" xfId="0" applyFill="1"/>
    <xf numFmtId="0" fontId="56" fillId="6" borderId="22" xfId="0" applyFont="1" applyFill="1" applyBorder="1" applyAlignment="1">
      <alignment vertical="center" wrapText="1"/>
    </xf>
    <xf numFmtId="0" fontId="56" fillId="6" borderId="26" xfId="0" applyFont="1" applyFill="1" applyBorder="1" applyAlignment="1">
      <alignment vertical="center" wrapText="1"/>
    </xf>
    <xf numFmtId="0" fontId="59" fillId="6" borderId="4" xfId="0" applyFont="1" applyFill="1" applyBorder="1" applyAlignment="1">
      <alignment horizontal="center" vertical="center" wrapText="1"/>
    </xf>
    <xf numFmtId="0" fontId="59" fillId="0" borderId="3" xfId="0" applyFont="1" applyFill="1" applyBorder="1" applyAlignment="1">
      <alignment horizontal="center" vertical="center" wrapText="1"/>
    </xf>
    <xf numFmtId="0" fontId="59" fillId="0" borderId="5" xfId="0" applyFont="1" applyFill="1" applyBorder="1" applyAlignment="1">
      <alignment horizontal="center" vertical="center" wrapText="1"/>
    </xf>
    <xf numFmtId="0" fontId="59" fillId="0" borderId="4" xfId="0" applyFont="1" applyFill="1" applyBorder="1" applyAlignment="1">
      <alignment horizontal="center" vertical="center" wrapText="1"/>
    </xf>
    <xf numFmtId="0" fontId="54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4" fontId="69" fillId="0" borderId="0" xfId="0" applyNumberFormat="1" applyFont="1" applyBorder="1" applyAlignment="1">
      <alignment horizontal="center"/>
    </xf>
    <xf numFmtId="0" fontId="69" fillId="0" borderId="0" xfId="0" applyFont="1" applyBorder="1" applyAlignment="1">
      <alignment horizontal="center"/>
    </xf>
    <xf numFmtId="2" fontId="69" fillId="0" borderId="0" xfId="0" applyNumberFormat="1" applyFont="1" applyBorder="1" applyAlignment="1">
      <alignment horizontal="center"/>
    </xf>
    <xf numFmtId="2" fontId="69" fillId="0" borderId="0" xfId="0" applyNumberFormat="1" applyFont="1" applyBorder="1" applyAlignment="1">
      <alignment horizontal="center" vertical="center"/>
    </xf>
    <xf numFmtId="4" fontId="69" fillId="0" borderId="0" xfId="0" applyNumberFormat="1" applyFont="1" applyBorder="1" applyAlignment="1">
      <alignment horizontal="left"/>
    </xf>
    <xf numFmtId="0" fontId="28" fillId="0" borderId="0" xfId="0" applyFont="1" applyBorder="1"/>
    <xf numFmtId="0" fontId="54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2" fontId="3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0" fontId="71" fillId="0" borderId="0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28" fillId="0" borderId="0" xfId="0" applyFont="1" applyBorder="1" applyAlignment="1">
      <alignment horizontal="left"/>
    </xf>
    <xf numFmtId="2" fontId="28" fillId="0" borderId="0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0" fontId="72" fillId="0" borderId="0" xfId="1" applyFont="1" applyAlignment="1" applyProtection="1">
      <alignment horizontal="left"/>
    </xf>
    <xf numFmtId="2" fontId="31" fillId="0" borderId="0" xfId="0" applyNumberFormat="1" applyFont="1" applyBorder="1" applyAlignment="1">
      <alignment horizontal="center" vertical="top" wrapText="1"/>
    </xf>
    <xf numFmtId="0" fontId="31" fillId="0" borderId="0" xfId="0" applyFont="1" applyBorder="1" applyAlignment="1">
      <alignment horizontal="center" vertical="top" wrapText="1"/>
    </xf>
    <xf numFmtId="0" fontId="31" fillId="0" borderId="0" xfId="0" applyFont="1" applyBorder="1" applyAlignment="1">
      <alignment vertical="top" wrapText="1"/>
    </xf>
    <xf numFmtId="2" fontId="31" fillId="0" borderId="0" xfId="0" applyNumberFormat="1" applyFont="1" applyBorder="1" applyAlignment="1">
      <alignment horizontal="right" vertical="top" wrapText="1"/>
    </xf>
    <xf numFmtId="0" fontId="28" fillId="0" borderId="0" xfId="0" applyFont="1" applyBorder="1" applyAlignment="1">
      <alignment horizontal="center"/>
    </xf>
    <xf numFmtId="0" fontId="73" fillId="0" borderId="0" xfId="0" applyFont="1" applyBorder="1"/>
    <xf numFmtId="0" fontId="74" fillId="0" borderId="0" xfId="0" applyFont="1" applyBorder="1" applyAlignment="1">
      <alignment vertical="top" wrapText="1"/>
    </xf>
    <xf numFmtId="1" fontId="75" fillId="0" borderId="0" xfId="0" applyNumberFormat="1" applyFont="1" applyBorder="1" applyAlignment="1">
      <alignment vertical="top" wrapText="1"/>
    </xf>
    <xf numFmtId="0" fontId="50" fillId="0" borderId="37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/>
    </xf>
    <xf numFmtId="2" fontId="70" fillId="0" borderId="0" xfId="0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2" fontId="70" fillId="0" borderId="0" xfId="0" applyNumberFormat="1" applyFont="1" applyBorder="1" applyAlignment="1">
      <alignment horizontal="left"/>
    </xf>
    <xf numFmtId="0" fontId="28" fillId="6" borderId="3" xfId="8" applyFont="1" applyFill="1" applyBorder="1"/>
    <xf numFmtId="0" fontId="61" fillId="6" borderId="3" xfId="8" applyFont="1" applyFill="1" applyBorder="1"/>
    <xf numFmtId="1" fontId="28" fillId="0" borderId="3" xfId="8" applyNumberFormat="1" applyFont="1" applyBorder="1" applyAlignment="1">
      <alignment horizontal="left"/>
    </xf>
    <xf numFmtId="1" fontId="61" fillId="6" borderId="3" xfId="8" applyNumberFormat="1" applyFont="1" applyFill="1" applyBorder="1" applyAlignment="1">
      <alignment horizontal="left"/>
    </xf>
    <xf numFmtId="1" fontId="58" fillId="0" borderId="3" xfId="8" applyNumberFormat="1" applyFont="1" applyFill="1" applyBorder="1" applyAlignment="1">
      <alignment horizontal="left"/>
    </xf>
    <xf numFmtId="49" fontId="61" fillId="6" borderId="3" xfId="8" applyNumberFormat="1" applyFont="1" applyFill="1" applyBorder="1"/>
    <xf numFmtId="1" fontId="61" fillId="0" borderId="3" xfId="8" applyNumberFormat="1" applyFont="1" applyFill="1" applyBorder="1" applyAlignment="1">
      <alignment horizontal="left"/>
    </xf>
    <xf numFmtId="1" fontId="61" fillId="0" borderId="3" xfId="0" applyNumberFormat="1" applyFont="1" applyFill="1" applyBorder="1" applyAlignment="1">
      <alignment horizontal="left"/>
    </xf>
    <xf numFmtId="0" fontId="56" fillId="0" borderId="3" xfId="8" applyFont="1" applyFill="1" applyBorder="1" applyAlignment="1">
      <alignment vertical="center"/>
    </xf>
    <xf numFmtId="49" fontId="61" fillId="0" borderId="3" xfId="0" applyNumberFormat="1" applyFont="1" applyFill="1" applyBorder="1" applyAlignment="1">
      <alignment horizontal="left"/>
    </xf>
    <xf numFmtId="0" fontId="61" fillId="6" borderId="3" xfId="10" applyFont="1" applyFill="1" applyBorder="1"/>
    <xf numFmtId="49" fontId="61" fillId="0" borderId="3" xfId="8" applyNumberFormat="1" applyFont="1" applyFill="1" applyBorder="1"/>
    <xf numFmtId="0" fontId="61" fillId="0" borderId="3" xfId="8" applyFont="1" applyFill="1" applyBorder="1" applyAlignment="1">
      <alignment horizontal="left"/>
    </xf>
    <xf numFmtId="0" fontId="34" fillId="0" borderId="0" xfId="11" applyFont="1" applyAlignment="1">
      <alignment vertical="center"/>
    </xf>
    <xf numFmtId="14" fontId="34" fillId="0" borderId="0" xfId="14" applyNumberFormat="1" applyFont="1" applyFill="1" applyBorder="1" applyAlignment="1">
      <alignment horizontal="left" vertical="center"/>
    </xf>
    <xf numFmtId="0" fontId="34" fillId="0" borderId="0" xfId="11" applyFont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0" fontId="36" fillId="0" borderId="0" xfId="12" applyFont="1" applyBorder="1" applyAlignment="1">
      <alignment horizontal="center" vertical="center" wrapText="1"/>
    </xf>
    <xf numFmtId="0" fontId="34" fillId="0" borderId="0" xfId="11" applyFont="1" applyBorder="1" applyAlignment="1">
      <alignment vertical="center" wrapText="1"/>
    </xf>
    <xf numFmtId="0" fontId="36" fillId="0" borderId="0" xfId="11" applyFont="1" applyFill="1" applyBorder="1" applyAlignment="1">
      <alignment vertical="center" wrapText="1"/>
    </xf>
    <xf numFmtId="0" fontId="36" fillId="0" borderId="0" xfId="11" applyFont="1" applyBorder="1" applyAlignment="1">
      <alignment vertical="center"/>
    </xf>
    <xf numFmtId="0" fontId="36" fillId="0" borderId="0" xfId="11" applyFont="1" applyAlignment="1">
      <alignment vertical="center"/>
    </xf>
    <xf numFmtId="0" fontId="31" fillId="0" borderId="0" xfId="11" applyFont="1" applyAlignment="1">
      <alignment vertical="center"/>
    </xf>
    <xf numFmtId="0" fontId="32" fillId="0" borderId="0" xfId="11" applyFont="1"/>
    <xf numFmtId="0" fontId="79" fillId="0" borderId="0" xfId="1" applyFont="1" applyAlignment="1">
      <alignment horizontal="left" vertical="center"/>
    </xf>
    <xf numFmtId="0" fontId="80" fillId="0" borderId="0" xfId="0" applyFont="1"/>
    <xf numFmtId="0" fontId="82" fillId="0" borderId="0" xfId="0" applyFont="1"/>
    <xf numFmtId="0" fontId="83" fillId="0" borderId="0" xfId="0" applyFont="1"/>
    <xf numFmtId="0" fontId="84" fillId="0" borderId="0" xfId="1" applyFont="1" applyAlignment="1">
      <alignment horizontal="left" vertical="center"/>
    </xf>
    <xf numFmtId="0" fontId="85" fillId="0" borderId="0" xfId="0" applyFont="1"/>
    <xf numFmtId="0" fontId="32" fillId="0" borderId="0" xfId="16" applyFont="1" applyAlignment="1">
      <alignment horizontal="center"/>
    </xf>
    <xf numFmtId="0" fontId="32" fillId="0" borderId="0" xfId="16" applyFont="1" applyAlignment="1">
      <alignment horizontal="left"/>
    </xf>
    <xf numFmtId="1" fontId="32" fillId="0" borderId="0" xfId="16" applyNumberFormat="1" applyFont="1" applyAlignment="1">
      <alignment horizontal="center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171" fontId="32" fillId="0" borderId="19" xfId="18" applyNumberFormat="1" applyFont="1" applyFill="1" applyBorder="1" applyAlignment="1">
      <alignment horizontal="center" vertical="center" wrapText="1"/>
    </xf>
    <xf numFmtId="1" fontId="86" fillId="0" borderId="3" xfId="18" applyNumberFormat="1" applyFont="1" applyFill="1" applyBorder="1" applyAlignment="1">
      <alignment horizontal="center" vertical="center" wrapText="1"/>
    </xf>
    <xf numFmtId="170" fontId="86" fillId="0" borderId="3" xfId="18" applyNumberFormat="1" applyFont="1" applyFill="1" applyBorder="1" applyAlignment="1">
      <alignment horizontal="center" vertical="center" wrapText="1"/>
    </xf>
    <xf numFmtId="0" fontId="86" fillId="0" borderId="3" xfId="17" applyFont="1" applyFill="1" applyBorder="1" applyAlignment="1">
      <alignment horizontal="left" vertical="center" wrapText="1"/>
    </xf>
    <xf numFmtId="0" fontId="32" fillId="0" borderId="3" xfId="17" applyFont="1" applyFill="1" applyBorder="1" applyAlignment="1">
      <alignment horizontal="left" vertical="center" wrapText="1"/>
    </xf>
    <xf numFmtId="0" fontId="86" fillId="0" borderId="3" xfId="17" applyFont="1" applyFill="1" applyBorder="1" applyAlignment="1">
      <alignment horizontal="center" vertical="center" wrapText="1"/>
    </xf>
    <xf numFmtId="170" fontId="86" fillId="0" borderId="5" xfId="18" applyNumberFormat="1" applyFont="1" applyFill="1" applyBorder="1" applyAlignment="1">
      <alignment horizontal="center" vertical="center" wrapText="1"/>
    </xf>
    <xf numFmtId="4" fontId="86" fillId="0" borderId="5" xfId="17" applyNumberFormat="1" applyFont="1" applyBorder="1" applyAlignment="1">
      <alignment horizontal="center" vertical="center" wrapText="1"/>
    </xf>
    <xf numFmtId="0" fontId="0" fillId="0" borderId="3" xfId="17" applyFont="1" applyFill="1" applyBorder="1" applyAlignment="1">
      <alignment horizontal="left" vertical="center" wrapText="1"/>
    </xf>
    <xf numFmtId="171" fontId="87" fillId="0" borderId="47" xfId="18" applyNumberFormat="1" applyFont="1" applyFill="1" applyBorder="1" applyAlignment="1">
      <alignment horizontal="center" vertical="center" wrapText="1"/>
    </xf>
    <xf numFmtId="1" fontId="88" fillId="0" borderId="48" xfId="18" applyNumberFormat="1" applyFont="1" applyFill="1" applyBorder="1" applyAlignment="1">
      <alignment horizontal="center" vertical="center" wrapText="1"/>
    </xf>
    <xf numFmtId="170" fontId="88" fillId="0" borderId="48" xfId="18" applyNumberFormat="1" applyFont="1" applyFill="1" applyBorder="1" applyAlignment="1">
      <alignment horizontal="center" vertical="center" wrapText="1"/>
    </xf>
    <xf numFmtId="0" fontId="88" fillId="0" borderId="48" xfId="17" applyFont="1" applyFill="1" applyBorder="1" applyAlignment="1">
      <alignment horizontal="left" vertical="center" wrapText="1"/>
    </xf>
    <xf numFmtId="0" fontId="87" fillId="0" borderId="48" xfId="17" applyFont="1" applyFill="1" applyBorder="1" applyAlignment="1">
      <alignment horizontal="left" vertical="center" wrapText="1"/>
    </xf>
    <xf numFmtId="0" fontId="88" fillId="0" borderId="48" xfId="17" applyFont="1" applyFill="1" applyBorder="1" applyAlignment="1">
      <alignment horizontal="center" vertical="center" wrapText="1"/>
    </xf>
    <xf numFmtId="170" fontId="88" fillId="0" borderId="49" xfId="18" applyNumberFormat="1" applyFont="1" applyFill="1" applyBorder="1" applyAlignment="1">
      <alignment horizontal="center" vertical="center" wrapText="1"/>
    </xf>
    <xf numFmtId="4" fontId="88" fillId="0" borderId="49" xfId="17" applyNumberFormat="1" applyFont="1" applyBorder="1" applyAlignment="1">
      <alignment horizontal="center" vertical="center" wrapText="1"/>
    </xf>
    <xf numFmtId="171" fontId="32" fillId="0" borderId="19" xfId="19" applyNumberFormat="1" applyFont="1" applyFill="1" applyBorder="1" applyAlignment="1">
      <alignment horizontal="center" vertical="center" wrapText="1"/>
    </xf>
    <xf numFmtId="1" fontId="86" fillId="0" borderId="3" xfId="19" applyNumberFormat="1" applyFont="1" applyFill="1" applyBorder="1" applyAlignment="1">
      <alignment horizontal="center" vertical="center" wrapText="1"/>
    </xf>
    <xf numFmtId="170" fontId="86" fillId="0" borderId="3" xfId="19" applyNumberFormat="1" applyFont="1" applyFill="1" applyBorder="1" applyAlignment="1">
      <alignment horizontal="center" vertical="center" wrapText="1"/>
    </xf>
    <xf numFmtId="4" fontId="86" fillId="0" borderId="5" xfId="19" applyNumberFormat="1" applyFont="1" applyFill="1" applyBorder="1" applyAlignment="1">
      <alignment horizontal="center" vertical="center" wrapText="1"/>
    </xf>
    <xf numFmtId="171" fontId="32" fillId="0" borderId="47" xfId="18" applyNumberFormat="1" applyFont="1" applyFill="1" applyBorder="1" applyAlignment="1">
      <alignment horizontal="center" vertical="center" wrapText="1"/>
    </xf>
    <xf numFmtId="1" fontId="86" fillId="0" borderId="48" xfId="18" applyNumberFormat="1" applyFont="1" applyFill="1" applyBorder="1" applyAlignment="1">
      <alignment horizontal="center" vertical="center" wrapText="1"/>
    </xf>
    <xf numFmtId="170" fontId="86" fillId="0" borderId="48" xfId="18" applyNumberFormat="1" applyFont="1" applyFill="1" applyBorder="1" applyAlignment="1">
      <alignment horizontal="center" vertical="center" wrapText="1"/>
    </xf>
    <xf numFmtId="0" fontId="86" fillId="0" borderId="48" xfId="17" applyFont="1" applyFill="1" applyBorder="1" applyAlignment="1">
      <alignment horizontal="left" vertical="center" wrapText="1"/>
    </xf>
    <xf numFmtId="0" fontId="32" fillId="0" borderId="48" xfId="17" applyFont="1" applyFill="1" applyBorder="1" applyAlignment="1">
      <alignment horizontal="left" vertical="center" wrapText="1"/>
    </xf>
    <xf numFmtId="0" fontId="86" fillId="0" borderId="48" xfId="17" applyFont="1" applyFill="1" applyBorder="1" applyAlignment="1">
      <alignment horizontal="center" vertical="center" wrapText="1"/>
    </xf>
    <xf numFmtId="170" fontId="86" fillId="0" borderId="49" xfId="18" applyNumberFormat="1" applyFont="1" applyFill="1" applyBorder="1" applyAlignment="1">
      <alignment horizontal="center" vertical="center" wrapText="1"/>
    </xf>
    <xf numFmtId="4" fontId="86" fillId="0" borderId="49" xfId="17" applyNumberFormat="1" applyFont="1" applyBorder="1" applyAlignment="1">
      <alignment horizontal="center" vertical="center" wrapText="1"/>
    </xf>
    <xf numFmtId="0" fontId="0" fillId="3" borderId="22" xfId="0" applyFill="1" applyBorder="1" applyAlignment="1"/>
    <xf numFmtId="0" fontId="0" fillId="3" borderId="26" xfId="0" applyFill="1" applyBorder="1" applyAlignment="1"/>
    <xf numFmtId="0" fontId="0" fillId="3" borderId="23" xfId="0" applyFill="1" applyBorder="1" applyAlignment="1"/>
    <xf numFmtId="0" fontId="3" fillId="4" borderId="50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2" fontId="27" fillId="5" borderId="54" xfId="0" applyNumberFormat="1" applyFont="1" applyFill="1" applyBorder="1" applyAlignment="1">
      <alignment horizontal="right" vertical="top" wrapText="1"/>
    </xf>
    <xf numFmtId="2" fontId="27" fillId="0" borderId="54" xfId="0" applyNumberFormat="1" applyFont="1" applyBorder="1" applyAlignment="1">
      <alignment horizontal="right" vertical="top" wrapText="1"/>
    </xf>
    <xf numFmtId="2" fontId="30" fillId="5" borderId="54" xfId="0" applyNumberFormat="1" applyFont="1" applyFill="1" applyBorder="1" applyAlignment="1">
      <alignment horizontal="right" vertical="top" wrapText="1"/>
    </xf>
    <xf numFmtId="0" fontId="20" fillId="0" borderId="9" xfId="0" applyFont="1" applyBorder="1" applyAlignment="1">
      <alignment vertical="center"/>
    </xf>
    <xf numFmtId="0" fontId="89" fillId="4" borderId="17" xfId="0" applyFont="1" applyFill="1" applyBorder="1" applyAlignment="1">
      <alignment horizontal="center" vertical="center" wrapText="1"/>
    </xf>
    <xf numFmtId="0" fontId="90" fillId="4" borderId="17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center" vertical="center"/>
    </xf>
    <xf numFmtId="0" fontId="37" fillId="4" borderId="5" xfId="0" applyFont="1" applyFill="1" applyBorder="1" applyAlignment="1" applyProtection="1">
      <alignment horizontal="center" vertical="center"/>
      <protection locked="0"/>
    </xf>
    <xf numFmtId="0" fontId="37" fillId="4" borderId="4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/>
    </xf>
    <xf numFmtId="0" fontId="37" fillId="4" borderId="26" xfId="0" applyFont="1" applyFill="1" applyBorder="1" applyAlignment="1">
      <alignment vertical="center" wrapText="1"/>
    </xf>
    <xf numFmtId="0" fontId="37" fillId="4" borderId="4" xfId="0" applyFont="1" applyFill="1" applyBorder="1" applyAlignment="1" applyProtection="1">
      <alignment horizontal="center" vertical="center" wrapText="1"/>
      <protection locked="0"/>
    </xf>
    <xf numFmtId="1" fontId="35" fillId="0" borderId="0" xfId="7" applyNumberFormat="1" applyFont="1" applyFill="1" applyBorder="1" applyAlignment="1">
      <alignment vertical="center"/>
    </xf>
    <xf numFmtId="0" fontId="37" fillId="4" borderId="63" xfId="0" applyFont="1" applyFill="1" applyBorder="1" applyAlignment="1">
      <alignment horizontal="center" vertical="center"/>
    </xf>
    <xf numFmtId="0" fontId="35" fillId="0" borderId="19" xfId="0" applyFont="1" applyBorder="1" applyAlignment="1">
      <alignment vertical="center"/>
    </xf>
    <xf numFmtId="1" fontId="35" fillId="0" borderId="54" xfId="0" applyNumberFormat="1" applyFont="1" applyBorder="1" applyAlignment="1">
      <alignment horizontal="center" vertical="center"/>
    </xf>
    <xf numFmtId="0" fontId="37" fillId="4" borderId="65" xfId="0" applyFont="1" applyFill="1" applyBorder="1" applyAlignment="1" applyProtection="1">
      <alignment horizontal="center" vertical="center"/>
      <protection locked="0"/>
    </xf>
    <xf numFmtId="1" fontId="35" fillId="0" borderId="70" xfId="0" applyNumberFormat="1" applyFont="1" applyFill="1" applyBorder="1" applyAlignment="1" applyProtection="1">
      <alignment horizontal="center" vertical="center"/>
    </xf>
    <xf numFmtId="1" fontId="35" fillId="0" borderId="71" xfId="0" applyNumberFormat="1" applyFont="1" applyFill="1" applyBorder="1" applyAlignment="1" applyProtection="1">
      <alignment horizontal="center" vertical="center"/>
    </xf>
    <xf numFmtId="1" fontId="35" fillId="0" borderId="54" xfId="0" applyNumberFormat="1" applyFont="1" applyFill="1" applyBorder="1" applyAlignment="1" applyProtection="1">
      <alignment horizontal="center" vertical="center"/>
    </xf>
    <xf numFmtId="1" fontId="35" fillId="0" borderId="72" xfId="0" applyNumberFormat="1" applyFont="1" applyFill="1" applyBorder="1" applyAlignment="1" applyProtection="1">
      <alignment horizontal="center" vertical="center"/>
    </xf>
    <xf numFmtId="0" fontId="37" fillId="4" borderId="18" xfId="0" applyFont="1" applyFill="1" applyBorder="1" applyAlignment="1">
      <alignment vertical="center" wrapText="1"/>
    </xf>
    <xf numFmtId="0" fontId="35" fillId="0" borderId="18" xfId="0" applyFont="1" applyFill="1" applyBorder="1" applyAlignment="1">
      <alignment horizontal="left" vertical="center" wrapText="1"/>
    </xf>
    <xf numFmtId="1" fontId="35" fillId="0" borderId="63" xfId="0" applyNumberFormat="1" applyFont="1" applyFill="1" applyBorder="1" applyAlignment="1" applyProtection="1">
      <alignment horizontal="center" vertical="center"/>
    </xf>
    <xf numFmtId="0" fontId="37" fillId="4" borderId="64" xfId="0" applyFont="1" applyFill="1" applyBorder="1" applyAlignment="1">
      <alignment horizontal="center" vertical="center" wrapText="1"/>
    </xf>
    <xf numFmtId="0" fontId="37" fillId="4" borderId="63" xfId="0" applyFont="1" applyFill="1" applyBorder="1" applyAlignment="1" applyProtection="1">
      <alignment horizontal="center" vertical="center" wrapText="1"/>
      <protection locked="0"/>
    </xf>
    <xf numFmtId="2" fontId="35" fillId="0" borderId="18" xfId="0" applyNumberFormat="1" applyFont="1" applyFill="1" applyBorder="1" applyAlignment="1">
      <alignment horizontal="left" vertical="center" wrapText="1"/>
    </xf>
    <xf numFmtId="1" fontId="35" fillId="0" borderId="54" xfId="0" applyNumberFormat="1" applyFont="1" applyFill="1" applyBorder="1" applyAlignment="1">
      <alignment horizontal="center" vertical="center"/>
    </xf>
    <xf numFmtId="2" fontId="35" fillId="0" borderId="47" xfId="0" applyNumberFormat="1" applyFont="1" applyFill="1" applyBorder="1" applyAlignment="1">
      <alignment vertical="center" wrapText="1"/>
    </xf>
    <xf numFmtId="1" fontId="35" fillId="0" borderId="48" xfId="0" applyNumberFormat="1" applyFont="1" applyFill="1" applyBorder="1" applyAlignment="1">
      <alignment horizontal="center" vertical="center"/>
    </xf>
    <xf numFmtId="1" fontId="35" fillId="0" borderId="58" xfId="0" applyNumberFormat="1" applyFont="1" applyFill="1" applyBorder="1" applyAlignment="1">
      <alignment horizontal="center" vertical="center"/>
    </xf>
    <xf numFmtId="0" fontId="28" fillId="4" borderId="36" xfId="0" applyFont="1" applyFill="1" applyBorder="1"/>
    <xf numFmtId="0" fontId="49" fillId="4" borderId="0" xfId="0" applyFont="1" applyFill="1" applyBorder="1" applyAlignment="1">
      <alignment horizontal="center" vertical="center"/>
    </xf>
    <xf numFmtId="0" fontId="28" fillId="4" borderId="37" xfId="0" applyFont="1" applyFill="1" applyBorder="1"/>
    <xf numFmtId="0" fontId="50" fillId="4" borderId="38" xfId="0" applyFont="1" applyFill="1" applyBorder="1" applyAlignment="1">
      <alignment horizontal="center" vertical="center" wrapText="1"/>
    </xf>
    <xf numFmtId="0" fontId="91" fillId="0" borderId="3" xfId="22" applyFont="1" applyFill="1" applyBorder="1" applyAlignment="1">
      <alignment horizontal="left" vertical="center" wrapText="1"/>
    </xf>
    <xf numFmtId="0" fontId="92" fillId="0" borderId="3" xfId="21" applyFont="1" applyFill="1" applyBorder="1" applyAlignment="1">
      <alignment horizontal="left" vertical="center" wrapText="1"/>
    </xf>
    <xf numFmtId="0" fontId="28" fillId="0" borderId="3" xfId="22" applyFont="1" applyFill="1" applyBorder="1" applyAlignment="1">
      <alignment horizontal="center" vertical="center"/>
    </xf>
    <xf numFmtId="0" fontId="92" fillId="0" borderId="3" xfId="21" applyFont="1" applyFill="1" applyBorder="1" applyAlignment="1">
      <alignment horizontal="center" vertical="center" wrapText="1"/>
    </xf>
    <xf numFmtId="0" fontId="91" fillId="0" borderId="3" xfId="22" applyFont="1" applyFill="1" applyBorder="1" applyAlignment="1">
      <alignment horizontal="center" vertical="center"/>
    </xf>
    <xf numFmtId="0" fontId="92" fillId="0" borderId="3" xfId="21" applyFont="1" applyFill="1" applyBorder="1" applyAlignment="1">
      <alignment horizontal="center" vertical="center" wrapText="1" shrinkToFit="1"/>
    </xf>
    <xf numFmtId="2" fontId="91" fillId="0" borderId="3" xfId="22" applyNumberFormat="1" applyFont="1" applyFill="1" applyBorder="1" applyAlignment="1">
      <alignment horizontal="center" vertical="center"/>
    </xf>
    <xf numFmtId="0" fontId="92" fillId="0" borderId="3" xfId="22" applyFont="1" applyFill="1" applyBorder="1" applyAlignment="1">
      <alignment horizontal="center" vertical="center"/>
    </xf>
    <xf numFmtId="2" fontId="92" fillId="0" borderId="3" xfId="22" applyNumberFormat="1" applyFont="1" applyFill="1" applyBorder="1" applyAlignment="1">
      <alignment horizontal="center" vertical="center"/>
    </xf>
    <xf numFmtId="0" fontId="92" fillId="0" borderId="3" xfId="22" applyFont="1" applyFill="1" applyBorder="1" applyAlignment="1">
      <alignment horizontal="center" vertical="center" wrapText="1" shrinkToFit="1"/>
    </xf>
    <xf numFmtId="0" fontId="92" fillId="0" borderId="3" xfId="21" applyFont="1" applyBorder="1" applyAlignment="1">
      <alignment horizontal="left" vertical="center" wrapText="1"/>
    </xf>
    <xf numFmtId="0" fontId="92" fillId="0" borderId="3" xfId="21" applyFont="1" applyBorder="1" applyAlignment="1">
      <alignment horizontal="center" vertical="center"/>
    </xf>
    <xf numFmtId="0" fontId="92" fillId="0" borderId="3" xfId="2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 shrinkToFit="1"/>
    </xf>
    <xf numFmtId="0" fontId="92" fillId="0" borderId="3" xfId="21" applyNumberFormat="1" applyFont="1" applyFill="1" applyBorder="1" applyAlignment="1">
      <alignment horizontal="center" vertical="center" wrapText="1"/>
    </xf>
    <xf numFmtId="0" fontId="91" fillId="0" borderId="3" xfId="22" applyFont="1" applyFill="1" applyBorder="1" applyAlignment="1">
      <alignment horizontal="left" vertical="center"/>
    </xf>
    <xf numFmtId="0" fontId="92" fillId="0" borderId="49" xfId="22" applyFont="1" applyFill="1" applyBorder="1" applyAlignment="1">
      <alignment horizontal="center" vertical="center"/>
    </xf>
    <xf numFmtId="0" fontId="92" fillId="0" borderId="3" xfId="0" applyFont="1" applyBorder="1" applyAlignment="1">
      <alignment horizontal="left" vertical="center" wrapText="1"/>
    </xf>
    <xf numFmtId="0" fontId="31" fillId="0" borderId="3" xfId="22" applyFont="1" applyFill="1" applyBorder="1" applyAlignment="1">
      <alignment horizontal="center" vertical="center" wrapText="1" shrinkToFit="1"/>
    </xf>
    <xf numFmtId="0" fontId="61" fillId="0" borderId="3" xfId="22" applyFont="1" applyFill="1" applyBorder="1" applyAlignment="1">
      <alignment horizontal="center" vertical="center"/>
    </xf>
    <xf numFmtId="0" fontId="28" fillId="0" borderId="3" xfId="21" applyFont="1" applyFill="1" applyBorder="1" applyAlignment="1">
      <alignment horizontal="center" vertical="center"/>
    </xf>
    <xf numFmtId="0" fontId="28" fillId="0" borderId="3" xfId="21" applyFont="1" applyFill="1" applyBorder="1" applyAlignment="1">
      <alignment horizontal="center" vertical="center" wrapText="1"/>
    </xf>
    <xf numFmtId="49" fontId="94" fillId="0" borderId="0" xfId="21" applyNumberFormat="1" applyFont="1" applyBorder="1" applyAlignment="1">
      <alignment horizontal="left"/>
    </xf>
    <xf numFmtId="0" fontId="31" fillId="0" borderId="0" xfId="21" applyFont="1" applyBorder="1" applyAlignment="1">
      <alignment horizontal="left" vertical="center" wrapText="1"/>
    </xf>
    <xf numFmtId="0" fontId="31" fillId="0" borderId="0" xfId="21" applyFont="1" applyBorder="1" applyAlignment="1"/>
    <xf numFmtId="0" fontId="31" fillId="0" borderId="0" xfId="21" applyFont="1" applyBorder="1" applyAlignment="1">
      <alignment horizontal="center"/>
    </xf>
    <xf numFmtId="2" fontId="31" fillId="0" borderId="0" xfId="21" applyNumberFormat="1" applyFont="1" applyBorder="1" applyAlignment="1">
      <alignment horizontal="center"/>
    </xf>
    <xf numFmtId="0" fontId="91" fillId="0" borderId="0" xfId="21" applyFont="1" applyBorder="1" applyAlignment="1">
      <alignment horizontal="center"/>
    </xf>
    <xf numFmtId="0" fontId="92" fillId="0" borderId="0" xfId="21" applyFont="1" applyFill="1" applyBorder="1"/>
    <xf numFmtId="0" fontId="92" fillId="0" borderId="0" xfId="21" applyFont="1" applyBorder="1"/>
    <xf numFmtId="0" fontId="31" fillId="0" borderId="0" xfId="21" applyFont="1" applyBorder="1"/>
    <xf numFmtId="2" fontId="94" fillId="0" borderId="3" xfId="22" applyNumberFormat="1" applyFont="1" applyFill="1" applyBorder="1" applyAlignment="1">
      <alignment horizontal="center" vertical="center"/>
    </xf>
    <xf numFmtId="0" fontId="95" fillId="0" borderId="0" xfId="0" applyFont="1"/>
    <xf numFmtId="2" fontId="96" fillId="4" borderId="3" xfId="0" applyNumberFormat="1" applyFont="1" applyFill="1" applyBorder="1" applyAlignment="1">
      <alignment horizontal="center" vertical="center" wrapText="1" shrinkToFit="1"/>
    </xf>
    <xf numFmtId="2" fontId="96" fillId="4" borderId="5" xfId="0" applyNumberFormat="1" applyFont="1" applyFill="1" applyBorder="1" applyAlignment="1">
      <alignment horizontal="center" vertical="center" wrapText="1" shrinkToFit="1"/>
    </xf>
    <xf numFmtId="2" fontId="96" fillId="4" borderId="3" xfId="21" applyNumberFormat="1" applyFont="1" applyFill="1" applyBorder="1" applyAlignment="1">
      <alignment horizontal="center" vertical="center"/>
    </xf>
    <xf numFmtId="4" fontId="96" fillId="4" borderId="3" xfId="22" applyNumberFormat="1" applyFont="1" applyFill="1" applyBorder="1" applyAlignment="1">
      <alignment horizontal="center" vertical="center" wrapText="1" shrinkToFit="1"/>
    </xf>
    <xf numFmtId="0" fontId="79" fillId="0" borderId="0" xfId="1" applyFont="1" applyAlignment="1">
      <alignment horizontal="left" vertical="top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0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18" fillId="4" borderId="0" xfId="1" applyFont="1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8" fillId="4" borderId="0" xfId="1" applyFont="1" applyFill="1" applyBorder="1"/>
    <xf numFmtId="0" fontId="18" fillId="4" borderId="0" xfId="1" applyFont="1" applyFill="1" applyBorder="1" applyAlignment="1"/>
    <xf numFmtId="0" fontId="12" fillId="4" borderId="0" xfId="1" applyFont="1" applyFill="1" applyBorder="1" applyAlignment="1"/>
    <xf numFmtId="0" fontId="0" fillId="0" borderId="4" xfId="0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3" borderId="26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0" fillId="3" borderId="3" xfId="0" applyFill="1" applyBorder="1" applyAlignment="1"/>
    <xf numFmtId="0" fontId="62" fillId="6" borderId="3" xfId="0" applyFont="1" applyFill="1" applyBorder="1" applyAlignment="1">
      <alignment wrapText="1"/>
    </xf>
    <xf numFmtId="0" fontId="0" fillId="0" borderId="3" xfId="0" applyBorder="1" applyAlignment="1"/>
    <xf numFmtId="0" fontId="3" fillId="4" borderId="3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1" fontId="35" fillId="0" borderId="3" xfId="0" applyNumberFormat="1" applyFont="1" applyFill="1" applyBorder="1" applyAlignment="1" applyProtection="1">
      <alignment horizontal="center" vertical="center"/>
    </xf>
    <xf numFmtId="1" fontId="35" fillId="0" borderId="54" xfId="0" applyNumberFormat="1" applyFont="1" applyFill="1" applyBorder="1" applyAlignment="1" applyProtection="1">
      <alignment horizontal="center" vertical="center"/>
    </xf>
    <xf numFmtId="0" fontId="38" fillId="0" borderId="3" xfId="0" applyFont="1" applyBorder="1" applyAlignment="1">
      <alignment horizontal="center" vertical="center"/>
    </xf>
    <xf numFmtId="1" fontId="35" fillId="0" borderId="67" xfId="0" applyNumberFormat="1" applyFont="1" applyFill="1" applyBorder="1" applyAlignment="1" applyProtection="1">
      <alignment horizontal="center" vertical="center"/>
    </xf>
    <xf numFmtId="1" fontId="35" fillId="0" borderId="21" xfId="0" applyNumberFormat="1" applyFont="1" applyFill="1" applyBorder="1" applyAlignment="1" applyProtection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1" fontId="35" fillId="0" borderId="3" xfId="0" applyNumberFormat="1" applyFont="1" applyFill="1" applyBorder="1" applyAlignment="1">
      <alignment horizontal="center" vertical="center"/>
    </xf>
    <xf numFmtId="0" fontId="12" fillId="4" borderId="0" xfId="1" applyFont="1" applyFill="1" applyBorder="1"/>
    <xf numFmtId="0" fontId="101" fillId="0" borderId="16" xfId="0" applyFont="1" applyBorder="1" applyAlignment="1">
      <alignment horizontal="center" vertical="center" wrapText="1"/>
    </xf>
    <xf numFmtId="0" fontId="101" fillId="0" borderId="15" xfId="0" applyFont="1" applyBorder="1" applyAlignment="1">
      <alignment horizontal="center" vertical="center" wrapText="1"/>
    </xf>
    <xf numFmtId="0" fontId="101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02" fillId="0" borderId="10" xfId="0" applyFont="1" applyBorder="1" applyAlignment="1">
      <alignment horizontal="center" vertical="center" wrapText="1"/>
    </xf>
    <xf numFmtId="0" fontId="101" fillId="0" borderId="16" xfId="0" applyFont="1" applyBorder="1" applyAlignment="1">
      <alignment horizontal="center" vertical="center" wrapText="1"/>
    </xf>
    <xf numFmtId="0" fontId="102" fillId="0" borderId="75" xfId="0" applyFont="1" applyBorder="1" applyAlignment="1">
      <alignment vertical="center" wrapText="1"/>
    </xf>
    <xf numFmtId="0" fontId="102" fillId="0" borderId="13" xfId="0" applyFont="1" applyBorder="1" applyAlignment="1">
      <alignment vertical="center" wrapText="1"/>
    </xf>
    <xf numFmtId="0" fontId="102" fillId="0" borderId="10" xfId="0" applyFont="1" applyBorder="1" applyAlignment="1">
      <alignment vertical="center" wrapText="1"/>
    </xf>
    <xf numFmtId="0" fontId="36" fillId="4" borderId="22" xfId="11" applyFont="1" applyFill="1" applyBorder="1" applyAlignment="1">
      <alignment horizontal="center" vertical="center"/>
    </xf>
    <xf numFmtId="0" fontId="36" fillId="4" borderId="23" xfId="11" applyFont="1" applyFill="1" applyBorder="1" applyAlignment="1">
      <alignment vertical="center"/>
    </xf>
    <xf numFmtId="9" fontId="34" fillId="0" borderId="22" xfId="11" applyNumberFormat="1" applyFont="1" applyBorder="1" applyAlignment="1">
      <alignment horizontal="center" vertical="center"/>
    </xf>
    <xf numFmtId="0" fontId="34" fillId="0" borderId="22" xfId="11" applyFont="1" applyBorder="1" applyAlignment="1">
      <alignment horizontal="center" vertical="center"/>
    </xf>
    <xf numFmtId="0" fontId="0" fillId="0" borderId="14" xfId="0" applyBorder="1"/>
    <xf numFmtId="0" fontId="0" fillId="0" borderId="16" xfId="0" applyBorder="1"/>
    <xf numFmtId="0" fontId="102" fillId="0" borderId="16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102" fillId="0" borderId="77" xfId="0" applyFont="1" applyBorder="1" applyAlignment="1">
      <alignment vertical="center" wrapText="1"/>
    </xf>
    <xf numFmtId="0" fontId="102" fillId="0" borderId="6" xfId="0" applyFont="1" applyBorder="1" applyAlignment="1">
      <alignment vertical="center" wrapText="1"/>
    </xf>
    <xf numFmtId="0" fontId="102" fillId="0" borderId="9" xfId="0" applyFont="1" applyBorder="1" applyAlignment="1">
      <alignment vertical="center" wrapText="1"/>
    </xf>
    <xf numFmtId="0" fontId="102" fillId="0" borderId="11" xfId="0" applyFont="1" applyBorder="1" applyAlignment="1">
      <alignment vertical="center" wrapText="1"/>
    </xf>
    <xf numFmtId="0" fontId="38" fillId="0" borderId="0" xfId="0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1" fontId="35" fillId="0" borderId="0" xfId="0" applyNumberFormat="1" applyFont="1" applyFill="1" applyBorder="1" applyAlignment="1">
      <alignment horizontal="center" vertical="center"/>
    </xf>
    <xf numFmtId="0" fontId="35" fillId="0" borderId="17" xfId="0" applyFont="1" applyBorder="1" applyAlignment="1">
      <alignment vertical="center"/>
    </xf>
    <xf numFmtId="0" fontId="35" fillId="0" borderId="78" xfId="0" applyFont="1" applyBorder="1" applyAlignment="1">
      <alignment vertical="center"/>
    </xf>
    <xf numFmtId="0" fontId="31" fillId="0" borderId="49" xfId="0" applyFont="1" applyBorder="1" applyAlignment="1">
      <alignment vertical="center"/>
    </xf>
    <xf numFmtId="2" fontId="35" fillId="0" borderId="49" xfId="0" applyNumberFormat="1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1" fontId="35" fillId="0" borderId="49" xfId="0" applyNumberFormat="1" applyFont="1" applyBorder="1" applyAlignment="1">
      <alignment horizontal="center" vertical="center"/>
    </xf>
    <xf numFmtId="1" fontId="35" fillId="0" borderId="79" xfId="0" applyNumberFormat="1" applyFont="1" applyBorder="1" applyAlignment="1">
      <alignment horizontal="center" vertical="center"/>
    </xf>
    <xf numFmtId="2" fontId="35" fillId="0" borderId="23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0" fontId="97" fillId="4" borderId="17" xfId="0" applyFont="1" applyFill="1" applyBorder="1" applyAlignment="1">
      <alignment horizontal="center" vertical="center" wrapText="1"/>
    </xf>
    <xf numFmtId="0" fontId="99" fillId="4" borderId="75" xfId="0" applyFont="1" applyFill="1" applyBorder="1" applyAlignment="1">
      <alignment horizontal="center" vertical="center" wrapText="1"/>
    </xf>
    <xf numFmtId="0" fontId="0" fillId="4" borderId="77" xfId="0" applyFill="1" applyBorder="1"/>
    <xf numFmtId="0" fontId="0" fillId="4" borderId="76" xfId="0" applyFill="1" applyBorder="1"/>
    <xf numFmtId="0" fontId="0" fillId="4" borderId="75" xfId="0" applyFill="1" applyBorder="1"/>
    <xf numFmtId="0" fontId="18" fillId="4" borderId="0" xfId="1" applyFont="1" applyFill="1" applyBorder="1" applyAlignment="1">
      <alignment horizontal="left"/>
    </xf>
    <xf numFmtId="0" fontId="18" fillId="4" borderId="0" xfId="1" applyFont="1" applyFill="1" applyBorder="1" applyAlignment="1">
      <alignment horizontal="center"/>
    </xf>
    <xf numFmtId="0" fontId="104" fillId="0" borderId="0" xfId="0" applyFont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3" borderId="47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3" borderId="58" xfId="0" applyFill="1" applyBorder="1" applyAlignment="1">
      <alignment horizont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1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0" fillId="3" borderId="19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23" fillId="0" borderId="14" xfId="0" applyFont="1" applyBorder="1" applyAlignment="1">
      <alignment wrapText="1"/>
    </xf>
    <xf numFmtId="0" fontId="23" fillId="0" borderId="15" xfId="0" applyFont="1" applyBorder="1" applyAlignment="1">
      <alignment wrapText="1"/>
    </xf>
    <xf numFmtId="0" fontId="0" fillId="0" borderId="15" xfId="0" applyBorder="1" applyAlignment="1">
      <alignment horizontal="center" vertical="center" wrapText="1"/>
    </xf>
    <xf numFmtId="0" fontId="21" fillId="0" borderId="0" xfId="0" applyFont="1" applyBorder="1" applyAlignment="1">
      <alignment vertical="center" wrapText="1"/>
    </xf>
    <xf numFmtId="14" fontId="77" fillId="0" borderId="0" xfId="0" applyNumberFormat="1" applyFont="1" applyBorder="1" applyAlignment="1">
      <alignment vertical="center" wrapText="1"/>
    </xf>
    <xf numFmtId="0" fontId="77" fillId="0" borderId="0" xfId="0" applyFont="1" applyBorder="1" applyAlignment="1">
      <alignment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3" borderId="18" xfId="0" applyFill="1" applyBorder="1" applyAlignment="1">
      <alignment horizontal="left"/>
    </xf>
    <xf numFmtId="0" fontId="0" fillId="3" borderId="26" xfId="0" applyFill="1" applyBorder="1" applyAlignment="1">
      <alignment horizontal="left"/>
    </xf>
    <xf numFmtId="0" fontId="0" fillId="3" borderId="53" xfId="0" applyFill="1" applyBorder="1" applyAlignment="1">
      <alignment horizontal="left"/>
    </xf>
    <xf numFmtId="14" fontId="51" fillId="0" borderId="0" xfId="21" applyNumberFormat="1" applyFont="1" applyBorder="1" applyAlignment="1">
      <alignment horizontal="left"/>
    </xf>
    <xf numFmtId="0" fontId="28" fillId="0" borderId="4" xfId="22" applyFont="1" applyFill="1" applyBorder="1" applyAlignment="1">
      <alignment horizontal="center" vertical="center"/>
    </xf>
    <xf numFmtId="0" fontId="28" fillId="0" borderId="21" xfId="22" applyFont="1" applyFill="1" applyBorder="1" applyAlignment="1">
      <alignment horizontal="center" vertical="center"/>
    </xf>
    <xf numFmtId="0" fontId="28" fillId="0" borderId="5" xfId="22" applyFont="1" applyFill="1" applyBorder="1" applyAlignment="1">
      <alignment horizontal="center" vertical="center"/>
    </xf>
    <xf numFmtId="0" fontId="41" fillId="0" borderId="7" xfId="6" applyFont="1" applyBorder="1" applyAlignment="1">
      <alignment horizontal="left" vertical="center" wrapText="1"/>
    </xf>
    <xf numFmtId="0" fontId="38" fillId="0" borderId="22" xfId="0" applyFont="1" applyFill="1" applyBorder="1" applyAlignment="1">
      <alignment horizontal="center" vertical="center"/>
    </xf>
    <xf numFmtId="0" fontId="38" fillId="0" borderId="26" xfId="0" applyFont="1" applyFill="1" applyBorder="1" applyAlignment="1">
      <alignment horizontal="center" vertical="center"/>
    </xf>
    <xf numFmtId="0" fontId="38" fillId="0" borderId="23" xfId="0" applyFont="1" applyFill="1" applyBorder="1" applyAlignment="1">
      <alignment horizontal="center" vertical="center"/>
    </xf>
    <xf numFmtId="2" fontId="38" fillId="0" borderId="22" xfId="0" applyNumberFormat="1" applyFont="1" applyFill="1" applyBorder="1" applyAlignment="1">
      <alignment horizontal="left" vertical="center" wrapText="1"/>
    </xf>
    <xf numFmtId="2" fontId="38" fillId="0" borderId="26" xfId="0" applyNumberFormat="1" applyFont="1" applyFill="1" applyBorder="1" applyAlignment="1">
      <alignment horizontal="left" vertical="center" wrapText="1"/>
    </xf>
    <xf numFmtId="2" fontId="38" fillId="0" borderId="23" xfId="0" applyNumberFormat="1" applyFont="1" applyFill="1" applyBorder="1" applyAlignment="1">
      <alignment horizontal="left" vertical="center" wrapText="1"/>
    </xf>
    <xf numFmtId="0" fontId="38" fillId="0" borderId="73" xfId="0" applyFont="1" applyFill="1" applyBorder="1" applyAlignment="1">
      <alignment horizontal="center" vertical="center"/>
    </xf>
    <xf numFmtId="0" fontId="38" fillId="0" borderId="56" xfId="0" applyFont="1" applyFill="1" applyBorder="1" applyAlignment="1">
      <alignment horizontal="center" vertical="center"/>
    </xf>
    <xf numFmtId="0" fontId="38" fillId="0" borderId="74" xfId="0" applyFont="1" applyFill="1" applyBorder="1" applyAlignment="1">
      <alignment horizontal="center" vertical="center"/>
    </xf>
    <xf numFmtId="2" fontId="38" fillId="0" borderId="73" xfId="0" applyNumberFormat="1" applyFont="1" applyFill="1" applyBorder="1" applyAlignment="1">
      <alignment horizontal="center" vertical="center" wrapText="1"/>
    </xf>
    <xf numFmtId="2" fontId="38" fillId="0" borderId="56" xfId="0" applyNumberFormat="1" applyFont="1" applyFill="1" applyBorder="1" applyAlignment="1">
      <alignment horizontal="center" vertical="center" wrapText="1"/>
    </xf>
    <xf numFmtId="2" fontId="38" fillId="0" borderId="74" xfId="0" applyNumberFormat="1" applyFont="1" applyFill="1" applyBorder="1" applyAlignment="1">
      <alignment horizontal="center" vertical="center" wrapText="1"/>
    </xf>
    <xf numFmtId="2" fontId="35" fillId="0" borderId="22" xfId="0" applyNumberFormat="1" applyFont="1" applyFill="1" applyBorder="1" applyAlignment="1">
      <alignment horizontal="center" vertical="center"/>
    </xf>
    <xf numFmtId="2" fontId="35" fillId="0" borderId="23" xfId="0" applyNumberFormat="1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/>
    </xf>
    <xf numFmtId="1" fontId="35" fillId="0" borderId="23" xfId="0" applyNumberFormat="1" applyFont="1" applyFill="1" applyBorder="1" applyAlignment="1">
      <alignment horizontal="center" vertical="center"/>
    </xf>
    <xf numFmtId="2" fontId="35" fillId="0" borderId="24" xfId="0" applyNumberFormat="1" applyFont="1" applyFill="1" applyBorder="1" applyAlignment="1">
      <alignment horizontal="center" vertical="center"/>
    </xf>
    <xf numFmtId="2" fontId="35" fillId="0" borderId="25" xfId="0" applyNumberFormat="1" applyFont="1" applyFill="1" applyBorder="1" applyAlignment="1">
      <alignment horizontal="center" vertical="center"/>
    </xf>
    <xf numFmtId="2" fontId="35" fillId="0" borderId="30" xfId="0" applyNumberFormat="1" applyFont="1" applyFill="1" applyBorder="1" applyAlignment="1">
      <alignment horizontal="center" vertical="center"/>
    </xf>
    <xf numFmtId="2" fontId="35" fillId="0" borderId="31" xfId="0" applyNumberFormat="1" applyFont="1" applyFill="1" applyBorder="1" applyAlignment="1">
      <alignment horizontal="center"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28" xfId="0" applyNumberFormat="1" applyFont="1" applyFill="1" applyBorder="1" applyAlignment="1">
      <alignment horizontal="center" vertical="center"/>
    </xf>
    <xf numFmtId="1" fontId="35" fillId="0" borderId="24" xfId="0" applyNumberFormat="1" applyFont="1" applyFill="1" applyBorder="1" applyAlignment="1">
      <alignment horizontal="center" vertical="center"/>
    </xf>
    <xf numFmtId="1" fontId="35" fillId="0" borderId="25" xfId="0" applyNumberFormat="1" applyFont="1" applyFill="1" applyBorder="1" applyAlignment="1">
      <alignment horizontal="center" vertical="center"/>
    </xf>
    <xf numFmtId="1" fontId="35" fillId="0" borderId="30" xfId="0" applyNumberFormat="1" applyFont="1" applyFill="1" applyBorder="1" applyAlignment="1">
      <alignment horizontal="center" vertical="center"/>
    </xf>
    <xf numFmtId="1" fontId="35" fillId="0" borderId="31" xfId="0" applyNumberFormat="1" applyFont="1" applyFill="1" applyBorder="1" applyAlignment="1">
      <alignment horizontal="center" vertic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28" xfId="0" applyNumberFormat="1" applyFont="1" applyFill="1" applyBorder="1" applyAlignment="1">
      <alignment horizontal="center" vertical="center"/>
    </xf>
    <xf numFmtId="1" fontId="38" fillId="0" borderId="4" xfId="0" applyNumberFormat="1" applyFont="1" applyFill="1" applyBorder="1" applyAlignment="1">
      <alignment horizontal="center" vertical="center" wrapText="1"/>
    </xf>
    <xf numFmtId="1" fontId="38" fillId="0" borderId="21" xfId="0" applyNumberFormat="1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167" fontId="35" fillId="0" borderId="4" xfId="0" applyNumberFormat="1" applyFont="1" applyFill="1" applyBorder="1" applyAlignment="1">
      <alignment horizontal="center" vertical="center"/>
    </xf>
    <xf numFmtId="167" fontId="35" fillId="0" borderId="21" xfId="0" applyNumberFormat="1" applyFont="1" applyFill="1" applyBorder="1" applyAlignment="1">
      <alignment horizontal="center" vertical="center"/>
    </xf>
    <xf numFmtId="167" fontId="35" fillId="0" borderId="5" xfId="0" applyNumberFormat="1" applyFont="1" applyFill="1" applyBorder="1" applyAlignment="1">
      <alignment horizontal="center" vertical="center"/>
    </xf>
    <xf numFmtId="2" fontId="35" fillId="0" borderId="4" xfId="0" applyNumberFormat="1" applyFont="1" applyFill="1" applyBorder="1" applyAlignment="1">
      <alignment horizontal="center" vertical="center"/>
    </xf>
    <xf numFmtId="2" fontId="35" fillId="0" borderId="21" xfId="0" applyNumberFormat="1" applyFont="1" applyFill="1" applyBorder="1" applyAlignment="1">
      <alignment horizontal="center" vertical="center"/>
    </xf>
    <xf numFmtId="2" fontId="35" fillId="0" borderId="5" xfId="0" applyNumberFormat="1" applyFont="1" applyFill="1" applyBorder="1" applyAlignment="1">
      <alignment horizontal="center" vertical="center"/>
    </xf>
    <xf numFmtId="1" fontId="35" fillId="0" borderId="4" xfId="0" applyNumberFormat="1" applyFont="1" applyFill="1" applyBorder="1" applyAlignment="1">
      <alignment horizontal="center" vertical="center"/>
    </xf>
    <xf numFmtId="1" fontId="35" fillId="0" borderId="21" xfId="0" applyNumberFormat="1" applyFont="1" applyFill="1" applyBorder="1" applyAlignment="1">
      <alignment horizontal="center" vertical="center"/>
    </xf>
    <xf numFmtId="1" fontId="35" fillId="0" borderId="5" xfId="0" applyNumberFormat="1" applyFont="1" applyFill="1" applyBorder="1" applyAlignment="1">
      <alignment horizontal="center" vertical="center"/>
    </xf>
    <xf numFmtId="1" fontId="38" fillId="0" borderId="5" xfId="0" applyNumberFormat="1" applyFont="1" applyFill="1" applyBorder="1" applyAlignment="1">
      <alignment horizontal="center" vertical="center" wrapText="1"/>
    </xf>
    <xf numFmtId="1" fontId="35" fillId="0" borderId="63" xfId="0" applyNumberFormat="1" applyFont="1" applyBorder="1" applyAlignment="1">
      <alignment horizontal="center" vertical="center"/>
    </xf>
    <xf numFmtId="1" fontId="35" fillId="0" borderId="65" xfId="0" applyNumberFormat="1" applyFont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 wrapText="1"/>
    </xf>
    <xf numFmtId="0" fontId="35" fillId="0" borderId="62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vertical="center"/>
    </xf>
    <xf numFmtId="0" fontId="35" fillId="0" borderId="62" xfId="0" applyFont="1" applyFill="1" applyBorder="1" applyAlignment="1">
      <alignment vertical="center"/>
    </xf>
    <xf numFmtId="0" fontId="38" fillId="0" borderId="4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1" fontId="35" fillId="0" borderId="4" xfId="0" applyNumberFormat="1" applyFont="1" applyBorder="1" applyAlignment="1">
      <alignment horizontal="center" vertical="center"/>
    </xf>
    <xf numFmtId="1" fontId="35" fillId="0" borderId="5" xfId="0" applyNumberFormat="1" applyFont="1" applyBorder="1" applyAlignment="1">
      <alignment horizontal="center" vertical="center"/>
    </xf>
    <xf numFmtId="1" fontId="35" fillId="0" borderId="4" xfId="0" applyNumberFormat="1" applyFont="1" applyFill="1" applyBorder="1" applyAlignment="1" applyProtection="1">
      <alignment horizontal="center" vertical="center"/>
    </xf>
    <xf numFmtId="1" fontId="35" fillId="0" borderId="5" xfId="0" applyNumberFormat="1" applyFont="1" applyFill="1" applyBorder="1" applyAlignment="1" applyProtection="1">
      <alignment horizontal="center" vertical="center"/>
    </xf>
    <xf numFmtId="1" fontId="35" fillId="0" borderId="63" xfId="0" applyNumberFormat="1" applyFont="1" applyFill="1" applyBorder="1" applyAlignment="1" applyProtection="1">
      <alignment horizontal="center" vertical="center"/>
    </xf>
    <xf numFmtId="1" fontId="35" fillId="0" borderId="65" xfId="0" applyNumberFormat="1" applyFont="1" applyFill="1" applyBorder="1" applyAlignment="1" applyProtection="1">
      <alignment horizontal="center" vertical="center"/>
    </xf>
    <xf numFmtId="0" fontId="35" fillId="0" borderId="64" xfId="0" applyFont="1" applyFill="1" applyBorder="1" applyAlignment="1">
      <alignment horizontal="left" vertical="center"/>
    </xf>
    <xf numFmtId="0" fontId="35" fillId="0" borderId="62" xfId="0" applyFont="1" applyFill="1" applyBorder="1" applyAlignment="1">
      <alignment horizontal="left" vertical="center"/>
    </xf>
    <xf numFmtId="3" fontId="76" fillId="0" borderId="0" xfId="6" applyNumberFormat="1" applyFont="1" applyBorder="1" applyAlignment="1">
      <alignment horizontal="center" vertical="center" wrapText="1"/>
    </xf>
    <xf numFmtId="0" fontId="37" fillId="4" borderId="44" xfId="0" applyFont="1" applyFill="1" applyBorder="1" applyAlignment="1">
      <alignment horizontal="center" vertical="center"/>
    </xf>
    <xf numFmtId="0" fontId="37" fillId="4" borderId="62" xfId="0" applyFont="1" applyFill="1" applyBorder="1" applyAlignment="1">
      <alignment horizontal="center" vertical="center"/>
    </xf>
    <xf numFmtId="0" fontId="37" fillId="4" borderId="45" xfId="0" applyFon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/>
    </xf>
    <xf numFmtId="0" fontId="37" fillId="4" borderId="59" xfId="0" applyFont="1" applyFill="1" applyBorder="1" applyAlignment="1">
      <alignment horizontal="center" vertical="center"/>
    </xf>
    <xf numFmtId="0" fontId="37" fillId="4" borderId="68" xfId="0" applyFont="1" applyFill="1" applyBorder="1" applyAlignment="1">
      <alignment horizontal="center" vertical="center"/>
    </xf>
    <xf numFmtId="0" fontId="37" fillId="4" borderId="46" xfId="0" applyFont="1" applyFill="1" applyBorder="1" applyAlignment="1">
      <alignment horizontal="center" vertical="center"/>
    </xf>
    <xf numFmtId="0" fontId="37" fillId="4" borderId="69" xfId="0" applyFont="1" applyFill="1" applyBorder="1" applyAlignment="1">
      <alignment horizontal="center" vertical="center"/>
    </xf>
    <xf numFmtId="0" fontId="37" fillId="4" borderId="27" xfId="0" applyFont="1" applyFill="1" applyBorder="1" applyAlignment="1">
      <alignment horizontal="center" vertical="center"/>
    </xf>
    <xf numFmtId="0" fontId="37" fillId="4" borderId="28" xfId="0" applyFont="1" applyFill="1" applyBorder="1" applyAlignment="1">
      <alignment horizontal="center" vertical="center"/>
    </xf>
    <xf numFmtId="0" fontId="37" fillId="4" borderId="46" xfId="0" applyFont="1" applyFill="1" applyBorder="1" applyAlignment="1">
      <alignment horizontal="center" vertical="center" wrapText="1"/>
    </xf>
    <xf numFmtId="0" fontId="37" fillId="4" borderId="69" xfId="0" applyFont="1" applyFill="1" applyBorder="1" applyAlignment="1">
      <alignment horizontal="center" vertical="center" wrapText="1"/>
    </xf>
    <xf numFmtId="0" fontId="37" fillId="4" borderId="27" xfId="0" applyFont="1" applyFill="1" applyBorder="1" applyAlignment="1">
      <alignment horizontal="center" vertical="center" wrapText="1"/>
    </xf>
    <xf numFmtId="0" fontId="37" fillId="4" borderId="28" xfId="0" applyFont="1" applyFill="1" applyBorder="1" applyAlignment="1">
      <alignment horizontal="center" vertical="center" wrapText="1"/>
    </xf>
    <xf numFmtId="0" fontId="38" fillId="4" borderId="5" xfId="0" applyFont="1" applyFill="1" applyBorder="1" applyAlignment="1">
      <alignment horizontal="center" vertical="center"/>
    </xf>
    <xf numFmtId="0" fontId="37" fillId="4" borderId="51" xfId="0" applyFont="1" applyFill="1" applyBorder="1" applyAlignment="1" applyProtection="1">
      <alignment horizontal="center" vertical="center"/>
      <protection locked="0"/>
    </xf>
    <xf numFmtId="0" fontId="37" fillId="4" borderId="52" xfId="0" applyFont="1" applyFill="1" applyBorder="1" applyAlignment="1" applyProtection="1">
      <alignment horizontal="center" vertical="center"/>
      <protection locked="0"/>
    </xf>
    <xf numFmtId="0" fontId="37" fillId="4" borderId="45" xfId="0" applyFont="1" applyFill="1" applyBorder="1" applyAlignment="1">
      <alignment horizontal="center" vertical="center" wrapText="1"/>
    </xf>
    <xf numFmtId="0" fontId="37" fillId="4" borderId="5" xfId="0" applyFont="1" applyFill="1" applyBorder="1" applyAlignment="1">
      <alignment horizontal="center" vertical="center" wrapText="1"/>
    </xf>
    <xf numFmtId="0" fontId="37" fillId="4" borderId="60" xfId="0" applyFont="1" applyFill="1" applyBorder="1" applyAlignment="1">
      <alignment horizontal="center" vertical="center"/>
    </xf>
    <xf numFmtId="0" fontId="37" fillId="4" borderId="61" xfId="0" applyFont="1" applyFill="1" applyBorder="1" applyAlignment="1">
      <alignment horizontal="center" vertical="center"/>
    </xf>
    <xf numFmtId="1" fontId="35" fillId="0" borderId="0" xfId="1" applyNumberFormat="1" applyFont="1" applyFill="1" applyBorder="1" applyAlignment="1" applyProtection="1">
      <alignment horizontal="left" vertical="center" wrapText="1"/>
    </xf>
    <xf numFmtId="0" fontId="35" fillId="0" borderId="4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left" vertical="center"/>
    </xf>
    <xf numFmtId="0" fontId="38" fillId="0" borderId="3" xfId="0" applyFont="1" applyBorder="1" applyAlignment="1">
      <alignment horizontal="center" vertical="center"/>
    </xf>
    <xf numFmtId="1" fontId="35" fillId="0" borderId="67" xfId="0" applyNumberFormat="1" applyFont="1" applyFill="1" applyBorder="1" applyAlignment="1" applyProtection="1">
      <alignment horizontal="center" vertical="center"/>
    </xf>
    <xf numFmtId="0" fontId="35" fillId="0" borderId="64" xfId="0" applyFont="1" applyFill="1" applyBorder="1" applyAlignment="1">
      <alignment horizontal="left" vertical="center" wrapText="1"/>
    </xf>
    <xf numFmtId="0" fontId="35" fillId="0" borderId="66" xfId="0" applyFont="1" applyFill="1" applyBorder="1" applyAlignment="1">
      <alignment horizontal="left" vertical="center" wrapText="1"/>
    </xf>
    <xf numFmtId="0" fontId="35" fillId="0" borderId="62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5" fillId="0" borderId="21" xfId="0" applyFont="1" applyFill="1" applyBorder="1" applyAlignment="1">
      <alignment horizontal="center" vertical="center"/>
    </xf>
    <xf numFmtId="1" fontId="35" fillId="0" borderId="21" xfId="0" applyNumberFormat="1" applyFont="1" applyFill="1" applyBorder="1" applyAlignment="1" applyProtection="1">
      <alignment horizontal="center" vertical="center"/>
    </xf>
    <xf numFmtId="1" fontId="35" fillId="0" borderId="63" xfId="0" applyNumberFormat="1" applyFont="1" applyFill="1" applyBorder="1" applyAlignment="1">
      <alignment horizontal="center" vertical="center"/>
    </xf>
    <xf numFmtId="1" fontId="35" fillId="0" borderId="67" xfId="0" applyNumberFormat="1" applyFont="1" applyFill="1" applyBorder="1" applyAlignment="1">
      <alignment horizontal="center" vertical="center"/>
    </xf>
    <xf numFmtId="1" fontId="35" fillId="0" borderId="65" xfId="0" applyNumberFormat="1" applyFont="1" applyFill="1" applyBorder="1" applyAlignment="1">
      <alignment horizontal="center" vertical="center"/>
    </xf>
    <xf numFmtId="1" fontId="35" fillId="0" borderId="21" xfId="0" applyNumberFormat="1" applyFont="1" applyBorder="1" applyAlignment="1">
      <alignment horizontal="center" vertical="center"/>
    </xf>
    <xf numFmtId="1" fontId="35" fillId="0" borderId="63" xfId="5" applyNumberFormat="1" applyFont="1" applyBorder="1" applyAlignment="1">
      <alignment horizontal="center" vertical="center"/>
    </xf>
    <xf numFmtId="1" fontId="35" fillId="0" borderId="67" xfId="5" applyNumberFormat="1" applyFont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167" fontId="35" fillId="0" borderId="3" xfId="0" applyNumberFormat="1" applyFont="1" applyFill="1" applyBorder="1" applyAlignment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1" fontId="35" fillId="0" borderId="3" xfId="0" applyNumberFormat="1" applyFont="1" applyFill="1" applyBorder="1" applyAlignment="1">
      <alignment horizontal="center" vertical="center"/>
    </xf>
    <xf numFmtId="0" fontId="37" fillId="4" borderId="22" xfId="0" applyFont="1" applyFill="1" applyBorder="1" applyAlignment="1">
      <alignment horizontal="center" vertical="center" wrapText="1"/>
    </xf>
    <xf numFmtId="0" fontId="37" fillId="4" borderId="26" xfId="0" applyFont="1" applyFill="1" applyBorder="1" applyAlignment="1">
      <alignment horizontal="center" vertical="center" wrapText="1"/>
    </xf>
    <xf numFmtId="0" fontId="37" fillId="4" borderId="23" xfId="0" applyFont="1" applyFill="1" applyBorder="1" applyAlignment="1">
      <alignment horizontal="center" vertical="center" wrapText="1"/>
    </xf>
    <xf numFmtId="0" fontId="37" fillId="4" borderId="22" xfId="0" applyFont="1" applyFill="1" applyBorder="1" applyAlignment="1">
      <alignment horizontal="center" vertical="center"/>
    </xf>
    <xf numFmtId="0" fontId="37" fillId="4" borderId="26" xfId="0" applyFont="1" applyFill="1" applyBorder="1" applyAlignment="1">
      <alignment horizontal="center" vertical="center"/>
    </xf>
    <xf numFmtId="0" fontId="37" fillId="4" borderId="23" xfId="0" applyFont="1" applyFill="1" applyBorder="1" applyAlignment="1">
      <alignment horizontal="center" vertical="center"/>
    </xf>
    <xf numFmtId="0" fontId="35" fillId="0" borderId="4" xfId="5" applyFont="1" applyBorder="1" applyAlignment="1">
      <alignment horizontal="center" vertical="center"/>
    </xf>
    <xf numFmtId="0" fontId="35" fillId="0" borderId="21" xfId="5" applyFont="1" applyBorder="1" applyAlignment="1">
      <alignment horizontal="center" vertical="center"/>
    </xf>
    <xf numFmtId="1" fontId="35" fillId="0" borderId="4" xfId="5" applyNumberFormat="1" applyFont="1" applyBorder="1" applyAlignment="1">
      <alignment horizontal="center" vertical="center"/>
    </xf>
    <xf numFmtId="1" fontId="35" fillId="0" borderId="21" xfId="5" applyNumberFormat="1" applyFont="1" applyBorder="1" applyAlignment="1">
      <alignment horizontal="center" vertical="center"/>
    </xf>
    <xf numFmtId="0" fontId="35" fillId="0" borderId="64" xfId="6" applyFont="1" applyBorder="1" applyAlignment="1">
      <alignment horizontal="left" vertical="center"/>
    </xf>
    <xf numFmtId="0" fontId="35" fillId="0" borderId="66" xfId="6" applyFont="1" applyBorder="1" applyAlignment="1">
      <alignment horizontal="left" vertical="center"/>
    </xf>
    <xf numFmtId="0" fontId="35" fillId="0" borderId="78" xfId="6" applyFont="1" applyBorder="1" applyAlignment="1">
      <alignment horizontal="left" vertical="center"/>
    </xf>
    <xf numFmtId="0" fontId="36" fillId="0" borderId="22" xfId="11" applyFont="1" applyBorder="1" applyAlignment="1">
      <alignment horizontal="center" vertical="center"/>
    </xf>
    <xf numFmtId="0" fontId="36" fillId="0" borderId="23" xfId="11" applyFont="1" applyBorder="1" applyAlignment="1">
      <alignment horizontal="center" vertical="center"/>
    </xf>
    <xf numFmtId="0" fontId="36" fillId="4" borderId="22" xfId="11" applyFont="1" applyFill="1" applyBorder="1" applyAlignment="1">
      <alignment horizontal="center" vertical="center"/>
    </xf>
    <xf numFmtId="0" fontId="36" fillId="4" borderId="23" xfId="11" applyFont="1" applyFill="1" applyBorder="1" applyAlignment="1">
      <alignment horizontal="center" vertical="center"/>
    </xf>
    <xf numFmtId="0" fontId="36" fillId="0" borderId="24" xfId="11" applyFont="1" applyBorder="1" applyAlignment="1">
      <alignment horizontal="center" vertical="center"/>
    </xf>
    <xf numFmtId="0" fontId="36" fillId="0" borderId="25" xfId="11" applyFont="1" applyBorder="1" applyAlignment="1">
      <alignment horizontal="center" vertical="center"/>
    </xf>
    <xf numFmtId="0" fontId="36" fillId="0" borderId="30" xfId="11" applyFont="1" applyBorder="1" applyAlignment="1">
      <alignment horizontal="center" vertical="center"/>
    </xf>
    <xf numFmtId="0" fontId="36" fillId="0" borderId="31" xfId="11" applyFont="1" applyBorder="1" applyAlignment="1">
      <alignment horizontal="center" vertical="center"/>
    </xf>
    <xf numFmtId="0" fontId="36" fillId="0" borderId="27" xfId="11" applyFont="1" applyBorder="1" applyAlignment="1">
      <alignment horizontal="center" vertical="center"/>
    </xf>
    <xf numFmtId="0" fontId="36" fillId="0" borderId="28" xfId="11" applyFont="1" applyBorder="1" applyAlignment="1">
      <alignment horizontal="center" vertical="center"/>
    </xf>
    <xf numFmtId="165" fontId="34" fillId="0" borderId="22" xfId="15" applyFont="1" applyBorder="1" applyAlignment="1">
      <alignment horizontal="center" vertical="center"/>
    </xf>
    <xf numFmtId="165" fontId="34" fillId="0" borderId="23" xfId="15" applyFont="1" applyBorder="1" applyAlignment="1">
      <alignment horizontal="center" vertical="center"/>
    </xf>
    <xf numFmtId="0" fontId="0" fillId="3" borderId="27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0" fontId="0" fillId="3" borderId="28" xfId="0" applyFill="1" applyBorder="1" applyAlignment="1">
      <alignment horizontal="left"/>
    </xf>
    <xf numFmtId="0" fontId="0" fillId="3" borderId="22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22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31" fillId="0" borderId="0" xfId="0" applyFont="1" applyBorder="1" applyAlignment="1">
      <alignment horizontal="center" vertical="top" wrapText="1"/>
    </xf>
    <xf numFmtId="0" fontId="0" fillId="3" borderId="55" xfId="0" applyFill="1" applyBorder="1" applyAlignment="1">
      <alignment horizontal="left"/>
    </xf>
    <xf numFmtId="0" fontId="0" fillId="3" borderId="56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100" fillId="0" borderId="77" xfId="0" applyFont="1" applyBorder="1" applyAlignment="1">
      <alignment horizontal="center" vertical="center" wrapText="1"/>
    </xf>
    <xf numFmtId="0" fontId="100" fillId="0" borderId="75" xfId="0" applyFont="1" applyBorder="1" applyAlignment="1">
      <alignment horizontal="center" vertical="center" wrapText="1"/>
    </xf>
    <xf numFmtId="0" fontId="100" fillId="0" borderId="6" xfId="0" applyFont="1" applyBorder="1" applyAlignment="1">
      <alignment horizontal="center" vertical="center" wrapText="1"/>
    </xf>
    <xf numFmtId="0" fontId="100" fillId="0" borderId="8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100" fillId="0" borderId="11" xfId="0" applyFont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103" fillId="0" borderId="10" xfId="0" applyFont="1" applyBorder="1" applyAlignment="1">
      <alignment horizontal="center" vertical="center" wrapText="1"/>
    </xf>
    <xf numFmtId="0" fontId="103" fillId="0" borderId="11" xfId="0" applyFont="1" applyBorder="1" applyAlignment="1">
      <alignment horizontal="center" vertical="center" wrapText="1"/>
    </xf>
    <xf numFmtId="0" fontId="103" fillId="0" borderId="13" xfId="0" applyFont="1" applyBorder="1" applyAlignment="1">
      <alignment horizontal="center" vertical="center" wrapText="1"/>
    </xf>
    <xf numFmtId="0" fontId="100" fillId="4" borderId="77" xfId="0" applyFont="1" applyFill="1" applyBorder="1" applyAlignment="1">
      <alignment horizontal="center" vertical="center" wrapText="1"/>
    </xf>
    <xf numFmtId="0" fontId="100" fillId="4" borderId="76" xfId="0" applyFont="1" applyFill="1" applyBorder="1" applyAlignment="1">
      <alignment horizontal="center" vertical="center" wrapText="1"/>
    </xf>
    <xf numFmtId="0" fontId="100" fillId="4" borderId="75" xfId="0" applyFont="1" applyFill="1" applyBorder="1" applyAlignment="1">
      <alignment horizontal="center" vertical="center" wrapText="1"/>
    </xf>
    <xf numFmtId="0" fontId="100" fillId="0" borderId="76" xfId="0" applyFont="1" applyBorder="1" applyAlignment="1">
      <alignment horizontal="center" vertical="center" wrapText="1"/>
    </xf>
    <xf numFmtId="0" fontId="102" fillId="0" borderId="6" xfId="0" applyFont="1" applyBorder="1" applyAlignment="1">
      <alignment horizontal="center" vertical="center" wrapText="1"/>
    </xf>
    <xf numFmtId="0" fontId="102" fillId="0" borderId="8" xfId="0" applyFont="1" applyBorder="1" applyAlignment="1">
      <alignment horizontal="center" vertical="center" wrapText="1"/>
    </xf>
    <xf numFmtId="0" fontId="102" fillId="0" borderId="9" xfId="0" applyFont="1" applyBorder="1" applyAlignment="1">
      <alignment horizontal="center" vertical="center" wrapText="1"/>
    </xf>
    <xf numFmtId="0" fontId="102" fillId="0" borderId="10" xfId="0" applyFont="1" applyBorder="1" applyAlignment="1">
      <alignment horizontal="center" vertical="center" wrapText="1"/>
    </xf>
    <xf numFmtId="0" fontId="102" fillId="0" borderId="11" xfId="0" applyFont="1" applyBorder="1" applyAlignment="1">
      <alignment horizontal="center" vertical="center" wrapText="1"/>
    </xf>
    <xf numFmtId="0" fontId="102" fillId="0" borderId="13" xfId="0" applyFont="1" applyBorder="1" applyAlignment="1">
      <alignment horizontal="center" vertical="center" wrapText="1"/>
    </xf>
    <xf numFmtId="0" fontId="103" fillId="0" borderId="14" xfId="0" applyFont="1" applyBorder="1" applyAlignment="1">
      <alignment horizontal="center" vertical="center" wrapText="1"/>
    </xf>
    <xf numFmtId="0" fontId="103" fillId="0" borderId="16" xfId="0" applyFont="1" applyBorder="1" applyAlignment="1">
      <alignment horizontal="center" vertical="center" wrapText="1"/>
    </xf>
    <xf numFmtId="0" fontId="103" fillId="0" borderId="15" xfId="0" applyFont="1" applyBorder="1" applyAlignment="1">
      <alignment horizontal="center" vertical="center" wrapText="1"/>
    </xf>
    <xf numFmtId="0" fontId="98" fillId="4" borderId="77" xfId="0" applyFont="1" applyFill="1" applyBorder="1" applyAlignment="1">
      <alignment horizontal="center" vertical="center" wrapText="1"/>
    </xf>
    <xf numFmtId="0" fontId="98" fillId="4" borderId="75" xfId="0" applyFont="1" applyFill="1" applyBorder="1" applyAlignment="1">
      <alignment horizontal="center" vertical="center" wrapText="1"/>
    </xf>
    <xf numFmtId="0" fontId="97" fillId="4" borderId="77" xfId="0" applyFont="1" applyFill="1" applyBorder="1" applyAlignment="1">
      <alignment horizontal="center" vertical="center" wrapText="1"/>
    </xf>
    <xf numFmtId="0" fontId="97" fillId="4" borderId="75" xfId="0" applyFont="1" applyFill="1" applyBorder="1" applyAlignment="1">
      <alignment horizontal="center" vertical="center" wrapText="1"/>
    </xf>
    <xf numFmtId="0" fontId="101" fillId="0" borderId="14" xfId="0" applyFont="1" applyBorder="1" applyAlignment="1">
      <alignment horizontal="center" vertical="center" wrapText="1"/>
    </xf>
    <xf numFmtId="0" fontId="101" fillId="0" borderId="16" xfId="0" applyFont="1" applyBorder="1" applyAlignment="1">
      <alignment horizontal="center" vertical="center" wrapText="1"/>
    </xf>
    <xf numFmtId="0" fontId="101" fillId="0" borderId="15" xfId="0" applyFont="1" applyBorder="1" applyAlignment="1">
      <alignment horizontal="center" vertical="center" wrapText="1"/>
    </xf>
    <xf numFmtId="0" fontId="101" fillId="0" borderId="6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center" vertical="center" wrapText="1"/>
    </xf>
    <xf numFmtId="0" fontId="101" fillId="0" borderId="11" xfId="0" applyFont="1" applyBorder="1" applyAlignment="1">
      <alignment horizontal="center" vertical="center" wrapText="1"/>
    </xf>
    <xf numFmtId="0" fontId="109" fillId="0" borderId="4" xfId="11" applyFont="1" applyFill="1" applyBorder="1" applyAlignment="1">
      <alignment vertical="center"/>
    </xf>
    <xf numFmtId="0" fontId="110" fillId="0" borderId="3" xfId="11" applyFont="1" applyFill="1" applyBorder="1" applyAlignment="1">
      <alignment horizontal="center" vertical="center"/>
    </xf>
    <xf numFmtId="168" fontId="106" fillId="0" borderId="3" xfId="11" applyNumberFormat="1" applyFont="1" applyBorder="1" applyAlignment="1">
      <alignment horizontal="center" vertical="center" wrapText="1"/>
    </xf>
    <xf numFmtId="0" fontId="110" fillId="0" borderId="25" xfId="11" applyFont="1" applyFill="1" applyBorder="1" applyAlignment="1">
      <alignment horizontal="center" vertical="center"/>
    </xf>
    <xf numFmtId="0" fontId="110" fillId="0" borderId="43" xfId="11" applyFont="1" applyFill="1" applyBorder="1" applyAlignment="1">
      <alignment horizontal="center" vertical="center"/>
    </xf>
    <xf numFmtId="168" fontId="106" fillId="0" borderId="3" xfId="11" applyNumberFormat="1" applyFont="1" applyFill="1" applyBorder="1" applyAlignment="1">
      <alignment horizontal="center" vertical="center" wrapText="1"/>
    </xf>
    <xf numFmtId="0" fontId="109" fillId="0" borderId="3" xfId="11" applyFont="1" applyFill="1" applyBorder="1" applyAlignment="1">
      <alignment vertical="center"/>
    </xf>
    <xf numFmtId="0" fontId="106" fillId="0" borderId="3" xfId="11" applyFont="1" applyFill="1" applyBorder="1" applyAlignment="1">
      <alignment horizontal="center" vertical="center"/>
    </xf>
    <xf numFmtId="0" fontId="110" fillId="0" borderId="3" xfId="13" applyNumberFormat="1" applyFont="1" applyFill="1" applyBorder="1" applyAlignment="1">
      <alignment horizontal="center" vertical="center"/>
    </xf>
    <xf numFmtId="0" fontId="110" fillId="0" borderId="3" xfId="13" applyNumberFormat="1" applyFont="1" applyFill="1" applyBorder="1" applyAlignment="1">
      <alignment horizontal="center" vertical="center"/>
    </xf>
    <xf numFmtId="0" fontId="109" fillId="0" borderId="33" xfId="11" applyFont="1" applyFill="1" applyBorder="1" applyAlignment="1">
      <alignment horizontal="left" vertical="center"/>
    </xf>
    <xf numFmtId="168" fontId="34" fillId="0" borderId="22" xfId="11" applyNumberFormat="1" applyFont="1" applyFill="1" applyBorder="1" applyAlignment="1">
      <alignment horizontal="center" vertical="center" wrapText="1"/>
    </xf>
    <xf numFmtId="168" fontId="34" fillId="0" borderId="26" xfId="11" applyNumberFormat="1" applyFont="1" applyFill="1" applyBorder="1" applyAlignment="1">
      <alignment horizontal="center" vertical="center" wrapText="1"/>
    </xf>
    <xf numFmtId="168" fontId="34" fillId="0" borderId="23" xfId="11" applyNumberFormat="1" applyFont="1" applyFill="1" applyBorder="1" applyAlignment="1">
      <alignment horizontal="center" vertical="center" wrapText="1"/>
    </xf>
    <xf numFmtId="0" fontId="110" fillId="0" borderId="22" xfId="13" applyNumberFormat="1" applyFont="1" applyFill="1" applyBorder="1" applyAlignment="1">
      <alignment horizontal="center" vertical="center"/>
    </xf>
    <xf numFmtId="0" fontId="110" fillId="0" borderId="26" xfId="13" applyNumberFormat="1" applyFont="1" applyFill="1" applyBorder="1" applyAlignment="1">
      <alignment horizontal="center" vertical="center"/>
    </xf>
    <xf numFmtId="0" fontId="110" fillId="0" borderId="23" xfId="13" applyNumberFormat="1" applyFont="1" applyFill="1" applyBorder="1" applyAlignment="1">
      <alignment horizontal="center" vertical="center"/>
    </xf>
    <xf numFmtId="1" fontId="105" fillId="0" borderId="0" xfId="13" applyNumberFormat="1" applyFont="1" applyFill="1" applyBorder="1" applyAlignment="1">
      <alignment horizontal="center" vertical="center"/>
    </xf>
    <xf numFmtId="0" fontId="36" fillId="0" borderId="31" xfId="11" applyFont="1" applyFill="1" applyBorder="1" applyAlignment="1">
      <alignment vertical="center"/>
    </xf>
    <xf numFmtId="0" fontId="34" fillId="0" borderId="31" xfId="11" applyFont="1" applyBorder="1" applyAlignment="1">
      <alignment vertical="center"/>
    </xf>
    <xf numFmtId="0" fontId="34" fillId="0" borderId="26" xfId="11" applyFont="1" applyBorder="1" applyAlignment="1">
      <alignment vertical="center"/>
    </xf>
    <xf numFmtId="0" fontId="34" fillId="0" borderId="23" xfId="11" applyFont="1" applyBorder="1" applyAlignment="1">
      <alignment vertical="center"/>
    </xf>
    <xf numFmtId="0" fontId="36" fillId="0" borderId="0" xfId="11" applyFont="1" applyFill="1" applyBorder="1" applyAlignment="1">
      <alignment vertical="center"/>
    </xf>
    <xf numFmtId="0" fontId="34" fillId="0" borderId="3" xfId="11" applyFont="1" applyBorder="1" applyAlignment="1">
      <alignment vertical="center"/>
    </xf>
    <xf numFmtId="0" fontId="34" fillId="0" borderId="0" xfId="11" applyFont="1" applyFill="1" applyBorder="1" applyAlignment="1">
      <alignment horizontal="left" vertical="center"/>
    </xf>
    <xf numFmtId="0" fontId="34" fillId="0" borderId="0" xfId="11" applyFont="1" applyFill="1" applyBorder="1" applyAlignment="1">
      <alignment horizontal="center" vertical="center"/>
    </xf>
    <xf numFmtId="0" fontId="34" fillId="0" borderId="0" xfId="11" applyFont="1" applyFill="1" applyBorder="1" applyAlignment="1">
      <alignment horizontal="center" vertical="center"/>
    </xf>
    <xf numFmtId="0" fontId="105" fillId="4" borderId="22" xfId="11" applyFont="1" applyFill="1" applyBorder="1" applyAlignment="1">
      <alignment horizontal="center" vertical="center"/>
    </xf>
    <xf numFmtId="0" fontId="105" fillId="4" borderId="4" xfId="11" applyFont="1" applyFill="1" applyBorder="1" applyAlignment="1">
      <alignment horizontal="center" vertical="center" wrapText="1"/>
    </xf>
    <xf numFmtId="0" fontId="105" fillId="4" borderId="26" xfId="11" applyFont="1" applyFill="1" applyBorder="1" applyAlignment="1">
      <alignment horizontal="center" vertical="center"/>
    </xf>
    <xf numFmtId="0" fontId="105" fillId="4" borderId="23" xfId="11" applyFont="1" applyFill="1" applyBorder="1" applyAlignment="1">
      <alignment horizontal="center" vertical="center"/>
    </xf>
    <xf numFmtId="0" fontId="105" fillId="4" borderId="21" xfId="11" applyFont="1" applyFill="1" applyBorder="1" applyAlignment="1">
      <alignment horizontal="center" vertical="center" wrapText="1"/>
    </xf>
    <xf numFmtId="0" fontId="105" fillId="4" borderId="24" xfId="11" applyFont="1" applyFill="1" applyBorder="1" applyAlignment="1">
      <alignment horizontal="center" vertical="center"/>
    </xf>
    <xf numFmtId="0" fontId="105" fillId="4" borderId="5" xfId="11" applyFont="1" applyFill="1" applyBorder="1" applyAlignment="1">
      <alignment horizontal="center" vertical="center" wrapText="1"/>
    </xf>
    <xf numFmtId="0" fontId="105" fillId="4" borderId="23" xfId="11" applyFont="1" applyFill="1" applyBorder="1" applyAlignment="1">
      <alignment horizontal="center" vertical="center" wrapText="1"/>
    </xf>
    <xf numFmtId="0" fontId="105" fillId="4" borderId="3" xfId="11" applyNumberFormat="1" applyFont="1" applyFill="1" applyBorder="1" applyAlignment="1">
      <alignment horizontal="center" vertical="center" wrapText="1"/>
    </xf>
    <xf numFmtId="0" fontId="105" fillId="4" borderId="3" xfId="11" applyFont="1" applyFill="1" applyBorder="1" applyAlignment="1">
      <alignment horizontal="center" vertical="center" wrapText="1"/>
    </xf>
    <xf numFmtId="0" fontId="105" fillId="4" borderId="25" xfId="11" applyFont="1" applyFill="1" applyBorder="1" applyAlignment="1">
      <alignment horizontal="center" vertical="center"/>
    </xf>
    <xf numFmtId="0" fontId="105" fillId="4" borderId="43" xfId="11" applyFont="1" applyFill="1" applyBorder="1" applyAlignment="1">
      <alignment horizontal="center" vertical="center"/>
    </xf>
    <xf numFmtId="0" fontId="105" fillId="4" borderId="22" xfId="12" applyFont="1" applyFill="1" applyBorder="1" applyAlignment="1">
      <alignment horizontal="center" vertical="center"/>
    </xf>
    <xf numFmtId="0" fontId="105" fillId="4" borderId="26" xfId="12" applyFont="1" applyFill="1" applyBorder="1" applyAlignment="1">
      <alignment horizontal="center" vertical="center"/>
    </xf>
    <xf numFmtId="0" fontId="105" fillId="4" borderId="23" xfId="12" applyFont="1" applyFill="1" applyBorder="1" applyAlignment="1">
      <alignment horizontal="center" vertical="center"/>
    </xf>
    <xf numFmtId="0" fontId="105" fillId="4" borderId="23" xfId="12" applyFont="1" applyFill="1" applyBorder="1" applyAlignment="1">
      <alignment horizontal="center" vertical="center"/>
    </xf>
    <xf numFmtId="1" fontId="105" fillId="4" borderId="3" xfId="13" applyNumberFormat="1" applyFont="1" applyFill="1" applyBorder="1" applyAlignment="1">
      <alignment horizontal="center" vertical="center"/>
    </xf>
    <xf numFmtId="1" fontId="105" fillId="4" borderId="22" xfId="13" applyNumberFormat="1" applyFont="1" applyFill="1" applyBorder="1" applyAlignment="1">
      <alignment horizontal="center" vertical="center"/>
    </xf>
    <xf numFmtId="0" fontId="108" fillId="4" borderId="22" xfId="11" applyFont="1" applyFill="1" applyBorder="1" applyAlignment="1">
      <alignment horizontal="center" vertical="center"/>
    </xf>
    <xf numFmtId="0" fontId="108" fillId="4" borderId="26" xfId="11" applyFont="1" applyFill="1" applyBorder="1" applyAlignment="1">
      <alignment horizontal="center" vertical="center"/>
    </xf>
    <xf numFmtId="0" fontId="108" fillId="4" borderId="23" xfId="11" applyFont="1" applyFill="1" applyBorder="1" applyAlignment="1">
      <alignment horizontal="center" vertical="center"/>
    </xf>
    <xf numFmtId="0" fontId="109" fillId="4" borderId="4" xfId="11" applyFont="1" applyFill="1" applyBorder="1" applyAlignment="1">
      <alignment vertical="center"/>
    </xf>
    <xf numFmtId="0" fontId="110" fillId="4" borderId="3" xfId="11" applyFont="1" applyFill="1" applyBorder="1" applyAlignment="1">
      <alignment horizontal="center" vertical="center"/>
    </xf>
    <xf numFmtId="168" fontId="106" fillId="4" borderId="3" xfId="11" applyNumberFormat="1" applyFont="1" applyFill="1" applyBorder="1" applyAlignment="1">
      <alignment horizontal="center" vertical="center" wrapText="1"/>
    </xf>
    <xf numFmtId="0" fontId="110" fillId="4" borderId="25" xfId="11" applyFont="1" applyFill="1" applyBorder="1" applyAlignment="1">
      <alignment horizontal="center" vertical="center"/>
    </xf>
    <xf numFmtId="0" fontId="110" fillId="4" borderId="43" xfId="11" applyFont="1" applyFill="1" applyBorder="1" applyAlignment="1">
      <alignment horizontal="center" vertical="center"/>
    </xf>
    <xf numFmtId="0" fontId="110" fillId="4" borderId="4" xfId="11" applyFont="1" applyFill="1" applyBorder="1" applyAlignment="1">
      <alignment horizontal="center" vertical="center"/>
    </xf>
    <xf numFmtId="168" fontId="106" fillId="4" borderId="4" xfId="11" applyNumberFormat="1" applyFont="1" applyFill="1" applyBorder="1" applyAlignment="1">
      <alignment horizontal="center" vertical="center" wrapText="1"/>
    </xf>
    <xf numFmtId="0" fontId="109" fillId="4" borderId="3" xfId="11" applyFont="1" applyFill="1" applyBorder="1" applyAlignment="1">
      <alignment vertical="center"/>
    </xf>
    <xf numFmtId="168" fontId="110" fillId="4" borderId="3" xfId="11" applyNumberFormat="1" applyFont="1" applyFill="1" applyBorder="1" applyAlignment="1">
      <alignment horizontal="center" vertical="center"/>
    </xf>
    <xf numFmtId="168" fontId="106" fillId="4" borderId="3" xfId="11" applyNumberFormat="1" applyFont="1" applyFill="1" applyBorder="1" applyAlignment="1">
      <alignment horizontal="center" vertical="center"/>
    </xf>
    <xf numFmtId="0" fontId="110" fillId="4" borderId="3" xfId="13" applyNumberFormat="1" applyFont="1" applyFill="1" applyBorder="1" applyAlignment="1">
      <alignment horizontal="center" vertical="center"/>
    </xf>
    <xf numFmtId="0" fontId="109" fillId="4" borderId="33" xfId="11" applyFont="1" applyFill="1" applyBorder="1" applyAlignment="1">
      <alignment horizontal="left" vertical="center"/>
    </xf>
    <xf numFmtId="168" fontId="34" fillId="4" borderId="22" xfId="11" applyNumberFormat="1" applyFont="1" applyFill="1" applyBorder="1" applyAlignment="1">
      <alignment horizontal="center" vertical="top" wrapText="1"/>
    </xf>
    <xf numFmtId="168" fontId="34" fillId="4" borderId="26" xfId="11" applyNumberFormat="1" applyFont="1" applyFill="1" applyBorder="1" applyAlignment="1">
      <alignment horizontal="center" vertical="top" wrapText="1"/>
    </xf>
    <xf numFmtId="168" fontId="34" fillId="4" borderId="23" xfId="11" applyNumberFormat="1" applyFont="1" applyFill="1" applyBorder="1" applyAlignment="1">
      <alignment horizontal="center" vertical="top" wrapText="1"/>
    </xf>
    <xf numFmtId="0" fontId="110" fillId="4" borderId="22" xfId="13" applyNumberFormat="1" applyFont="1" applyFill="1" applyBorder="1" applyAlignment="1">
      <alignment horizontal="center" vertical="center"/>
    </xf>
    <xf numFmtId="0" fontId="110" fillId="4" borderId="26" xfId="13" applyNumberFormat="1" applyFont="1" applyFill="1" applyBorder="1" applyAlignment="1">
      <alignment horizontal="center" vertical="center"/>
    </xf>
    <xf numFmtId="0" fontId="110" fillId="4" borderId="23" xfId="13" applyNumberFormat="1" applyFont="1" applyFill="1" applyBorder="1" applyAlignment="1">
      <alignment horizontal="center" vertical="center"/>
    </xf>
    <xf numFmtId="0" fontId="36" fillId="4" borderId="26" xfId="11" applyFont="1" applyFill="1" applyBorder="1" applyAlignment="1">
      <alignment vertical="center"/>
    </xf>
    <xf numFmtId="0" fontId="36" fillId="4" borderId="26" xfId="11" applyFont="1" applyFill="1" applyBorder="1" applyAlignment="1">
      <alignment vertical="center"/>
    </xf>
    <xf numFmtId="0" fontId="36" fillId="4" borderId="3" xfId="11" applyFont="1" applyFill="1" applyBorder="1" applyAlignment="1">
      <alignment vertical="center"/>
    </xf>
    <xf numFmtId="0" fontId="82" fillId="0" borderId="0" xfId="0" applyFont="1" applyAlignment="1">
      <alignment horizontal="center"/>
    </xf>
    <xf numFmtId="9" fontId="110" fillId="0" borderId="0" xfId="14" applyFont="1" applyFill="1" applyBorder="1" applyAlignment="1">
      <alignment vertical="center"/>
    </xf>
    <xf numFmtId="9" fontId="34" fillId="0" borderId="0" xfId="14" applyFont="1" applyFill="1" applyBorder="1" applyAlignment="1">
      <alignment vertical="center"/>
    </xf>
    <xf numFmtId="0" fontId="111" fillId="0" borderId="14" xfId="0" applyFont="1" applyBorder="1" applyAlignment="1">
      <alignment horizontal="center" vertical="center" wrapText="1"/>
    </xf>
    <xf numFmtId="4" fontId="111" fillId="0" borderId="14" xfId="0" applyNumberFormat="1" applyFont="1" applyBorder="1" applyAlignment="1">
      <alignment horizontal="center" vertical="center"/>
    </xf>
    <xf numFmtId="0" fontId="111" fillId="0" borderId="16" xfId="0" applyFont="1" applyBorder="1" applyAlignment="1">
      <alignment horizontal="center" vertical="center" wrapText="1"/>
    </xf>
    <xf numFmtId="0" fontId="14" fillId="0" borderId="16" xfId="0" applyFont="1" applyBorder="1" applyAlignment="1">
      <alignment vertical="center" wrapText="1"/>
    </xf>
    <xf numFmtId="4" fontId="111" fillId="0" borderId="16" xfId="0" applyNumberFormat="1" applyFont="1" applyBorder="1" applyAlignment="1">
      <alignment horizontal="center" vertical="center"/>
    </xf>
    <xf numFmtId="0" fontId="111" fillId="0" borderId="15" xfId="0" applyFont="1" applyBorder="1" applyAlignment="1">
      <alignment horizontal="center" vertical="center" wrapText="1"/>
    </xf>
    <xf numFmtId="4" fontId="111" fillId="0" borderId="15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11" fillId="0" borderId="14" xfId="0" applyFont="1" applyBorder="1" applyAlignment="1">
      <alignment horizontal="center" vertical="center"/>
    </xf>
    <xf numFmtId="0" fontId="111" fillId="0" borderId="15" xfId="0" applyFont="1" applyBorder="1" applyAlignment="1">
      <alignment horizontal="center" vertical="center"/>
    </xf>
    <xf numFmtId="3" fontId="111" fillId="0" borderId="14" xfId="0" applyNumberFormat="1" applyFont="1" applyBorder="1" applyAlignment="1">
      <alignment horizontal="center" vertical="center" wrapText="1"/>
    </xf>
    <xf numFmtId="4" fontId="111" fillId="5" borderId="14" xfId="0" applyNumberFormat="1" applyFont="1" applyFill="1" applyBorder="1" applyAlignment="1">
      <alignment horizontal="center" vertical="center"/>
    </xf>
    <xf numFmtId="0" fontId="14" fillId="0" borderId="16" xfId="0" applyFont="1" applyBorder="1" applyAlignment="1">
      <alignment vertical="center"/>
    </xf>
    <xf numFmtId="3" fontId="111" fillId="0" borderId="16" xfId="0" applyNumberFormat="1" applyFont="1" applyBorder="1" applyAlignment="1">
      <alignment horizontal="center" vertical="center" wrapText="1"/>
    </xf>
    <xf numFmtId="4" fontId="111" fillId="5" borderId="15" xfId="0" applyNumberFormat="1" applyFont="1" applyFill="1" applyBorder="1" applyAlignment="1">
      <alignment horizontal="center" vertical="center"/>
    </xf>
    <xf numFmtId="3" fontId="111" fillId="0" borderId="15" xfId="0" applyNumberFormat="1" applyFont="1" applyBorder="1" applyAlignment="1">
      <alignment horizontal="center" vertical="center" wrapText="1"/>
    </xf>
    <xf numFmtId="4" fontId="112" fillId="0" borderId="14" xfId="0" applyNumberFormat="1" applyFont="1" applyBorder="1" applyAlignment="1">
      <alignment horizontal="center" vertical="center"/>
    </xf>
    <xf numFmtId="4" fontId="112" fillId="0" borderId="16" xfId="0" applyNumberFormat="1" applyFont="1" applyBorder="1" applyAlignment="1">
      <alignment horizontal="center" vertical="center"/>
    </xf>
    <xf numFmtId="4" fontId="112" fillId="0" borderId="15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vertical="center"/>
    </xf>
    <xf numFmtId="0" fontId="112" fillId="0" borderId="6" xfId="0" applyFont="1" applyBorder="1" applyAlignment="1">
      <alignment horizontal="center" vertical="center"/>
    </xf>
    <xf numFmtId="0" fontId="111" fillId="0" borderId="14" xfId="0" applyFont="1" applyBorder="1" applyAlignment="1">
      <alignment horizontal="center" vertical="center" wrapText="1"/>
    </xf>
    <xf numFmtId="4" fontId="112" fillId="0" borderId="17" xfId="0" applyNumberFormat="1" applyFont="1" applyBorder="1" applyAlignment="1">
      <alignment horizontal="center" vertical="center"/>
    </xf>
    <xf numFmtId="0" fontId="111" fillId="0" borderId="15" xfId="0" applyFont="1" applyBorder="1" applyAlignment="1">
      <alignment horizontal="center" vertical="center" wrapText="1"/>
    </xf>
    <xf numFmtId="0" fontId="112" fillId="0" borderId="11" xfId="0" applyFont="1" applyBorder="1" applyAlignment="1">
      <alignment horizontal="center" vertical="center"/>
    </xf>
    <xf numFmtId="0" fontId="111" fillId="0" borderId="17" xfId="0" applyFont="1" applyBorder="1" applyAlignment="1">
      <alignment horizontal="center" vertical="center" wrapText="1"/>
    </xf>
  </cellXfs>
  <cellStyles count="23">
    <cellStyle name="Comma 2" xfId="18"/>
    <cellStyle name="Normal 2" xfId="16"/>
    <cellStyle name="Normal_Draft Price list  01 04 2012 masnory-ver2_28032012_" xfId="20"/>
    <cellStyle name="Normal_New Price list  common_2012 2" xfId="17"/>
    <cellStyle name="Normal_Sheet1" xfId="10"/>
    <cellStyle name="Normal_Sheet1 2" xfId="22"/>
    <cellStyle name="Style 1" xfId="8"/>
    <cellStyle name="Гиперссылка" xfId="1" builtinId="8"/>
    <cellStyle name="Денежный" xfId="2" builtinId="4"/>
    <cellStyle name="Денежный_прайс дилерский _14.06.11" xfId="15"/>
    <cellStyle name="Обычный" xfId="0" builtinId="0"/>
    <cellStyle name="Обычный 2" xfId="12"/>
    <cellStyle name="Обычный_08.03.26 NEW PRICE for Sang_ 3" xfId="9"/>
    <cellStyle name="Обычный_Price-list WB HBPTH KIPREVO_Msk" xfId="21"/>
    <cellStyle name="Обычный_Vilpe1" xfId="5"/>
    <cellStyle name="Обычный_Лист1" xfId="4"/>
    <cellStyle name="Обычный_Лист1_Книга1" xfId="13"/>
    <cellStyle name="Обычный_Лист1_проект пвх" xfId="7"/>
    <cellStyle name="Обычный_металлист FAKRO" xfId="6"/>
    <cellStyle name="Обычный_прайс дилерский _14.06.11" xfId="11"/>
    <cellStyle name="Процентный 2" xfId="14"/>
    <cellStyle name="Финансовый" xfId="3" builtinId="3"/>
    <cellStyle name="Финансовый 2 2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hyperlink" Target="#'&#1042;&#1080;&#1085;&#1080;&#1083;&#1086;&#1074;&#1099;&#1081; &#1089;&#1072;&#1081;&#1076;&#1080;&#1085;&#1075; GL'!A1"/><Relationship Id="rId18" Type="http://schemas.openxmlformats.org/officeDocument/2006/relationships/image" Target="../media/image9.png"/><Relationship Id="rId3" Type="http://schemas.openxmlformats.org/officeDocument/2006/relationships/hyperlink" Target="#'El-Block'!A1"/><Relationship Id="rId21" Type="http://schemas.openxmlformats.org/officeDocument/2006/relationships/image" Target="../media/image11.png"/><Relationship Id="rId7" Type="http://schemas.openxmlformats.org/officeDocument/2006/relationships/hyperlink" Target="#'White Hills'!A1"/><Relationship Id="rId12" Type="http://schemas.openxmlformats.org/officeDocument/2006/relationships/image" Target="../media/image6.png"/><Relationship Id="rId17" Type="http://schemas.openxmlformats.org/officeDocument/2006/relationships/hyperlink" Target="#BRAER!A1"/><Relationship Id="rId25" Type="http://schemas.openxmlformats.org/officeDocument/2006/relationships/image" Target="../media/image13.png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Ytong!A1"/><Relationship Id="rId6" Type="http://schemas.openxmlformats.org/officeDocument/2006/relationships/image" Target="../media/image3.jpeg"/><Relationship Id="rId11" Type="http://schemas.openxmlformats.org/officeDocument/2006/relationships/hyperlink" Target="#'&#1064;&#1060; CERESIT'!A1"/><Relationship Id="rId24" Type="http://schemas.openxmlformats.org/officeDocument/2006/relationships/hyperlink" Target="#&#1045;&#1047;&#1057;&#1052;!R1C1"/><Relationship Id="rId5" Type="http://schemas.openxmlformats.org/officeDocument/2006/relationships/hyperlink" Target="#&#1069;&#1050;&#1054;!R1C1"/><Relationship Id="rId15" Type="http://schemas.openxmlformats.org/officeDocument/2006/relationships/hyperlink" Target="#'&#1052;&#1077;&#1090;&#1072;&#1083;. &#1089;&#1072;&#1081;&#1076;&#1080;&#1085;&#1075; GL'!A1"/><Relationship Id="rId23" Type="http://schemas.openxmlformats.org/officeDocument/2006/relationships/image" Target="../media/image12.jpg"/><Relationship Id="rId10" Type="http://schemas.openxmlformats.org/officeDocument/2006/relationships/image" Target="../media/image5.png"/><Relationship Id="rId19" Type="http://schemas.openxmlformats.org/officeDocument/2006/relationships/hyperlink" Target="#Wienerberger!A1"/><Relationship Id="rId4" Type="http://schemas.openxmlformats.org/officeDocument/2006/relationships/image" Target="../media/image2.jpeg"/><Relationship Id="rId9" Type="http://schemas.openxmlformats.org/officeDocument/2006/relationships/hyperlink" Target="#'&#1064;&#1060; WEBER'!A1"/><Relationship Id="rId14" Type="http://schemas.openxmlformats.org/officeDocument/2006/relationships/image" Target="../media/image7.png"/><Relationship Id="rId22" Type="http://schemas.openxmlformats.org/officeDocument/2006/relationships/hyperlink" Target="#PERE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97;&#1080;&#1081;!A1"/><Relationship Id="rId2" Type="http://schemas.openxmlformats.org/officeDocument/2006/relationships/image" Target="../media/image77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97;&#1080;&#1081;!A1"/><Relationship Id="rId2" Type="http://schemas.openxmlformats.org/officeDocument/2006/relationships/image" Target="../media/image11.png"/><Relationship Id="rId1" Type="http://schemas.openxmlformats.org/officeDocument/2006/relationships/image" Target="../media/image7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3;&#1097;&#1080;&#1081;!A1"/><Relationship Id="rId3" Type="http://schemas.openxmlformats.org/officeDocument/2006/relationships/image" Target="../media/image81.png"/><Relationship Id="rId7" Type="http://schemas.openxmlformats.org/officeDocument/2006/relationships/image" Target="../media/image11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5" Type="http://schemas.openxmlformats.org/officeDocument/2006/relationships/image" Target="../media/image83.png"/><Relationship Id="rId4" Type="http://schemas.openxmlformats.org/officeDocument/2006/relationships/image" Target="../media/image8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97;&#1080;&#1081;!A1"/><Relationship Id="rId2" Type="http://schemas.openxmlformats.org/officeDocument/2006/relationships/image" Target="../media/image12.jp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97;&#1080;&#1081;!A1"/><Relationship Id="rId2" Type="http://schemas.openxmlformats.org/officeDocument/2006/relationships/image" Target="../media/image14.jpeg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6.jpeg"/><Relationship Id="rId1" Type="http://schemas.openxmlformats.org/officeDocument/2006/relationships/image" Target="../media/image15.png"/><Relationship Id="rId4" Type="http://schemas.openxmlformats.org/officeDocument/2006/relationships/hyperlink" Target="#&#1054;&#1073;&#1097;&#1080;&#1081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7.png"/><Relationship Id="rId1" Type="http://schemas.openxmlformats.org/officeDocument/2006/relationships/image" Target="../media/image3.jpeg"/><Relationship Id="rId4" Type="http://schemas.openxmlformats.org/officeDocument/2006/relationships/hyperlink" Target="#&#1054;&#1073;&#1097;&#1080;&#1081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1.png"/><Relationship Id="rId1" Type="http://schemas.openxmlformats.org/officeDocument/2006/relationships/image" Target="../media/image18.png"/><Relationship Id="rId4" Type="http://schemas.openxmlformats.org/officeDocument/2006/relationships/hyperlink" Target="#&#1054;&#1073;&#1097;&#1080;&#1081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hyperlink" Target="#&#1054;&#1073;&#1097;&#1080;&#1081;!A1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11.png"/><Relationship Id="rId2" Type="http://schemas.openxmlformats.org/officeDocument/2006/relationships/image" Target="../media/image21.jpeg"/><Relationship Id="rId16" Type="http://schemas.openxmlformats.org/officeDocument/2006/relationships/image" Target="../media/image35.pn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pn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png"/><Relationship Id="rId18" Type="http://schemas.openxmlformats.org/officeDocument/2006/relationships/image" Target="../media/image11.png"/><Relationship Id="rId3" Type="http://schemas.openxmlformats.org/officeDocument/2006/relationships/image" Target="../media/image38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17" Type="http://schemas.openxmlformats.org/officeDocument/2006/relationships/image" Target="../media/image52.jpeg"/><Relationship Id="rId2" Type="http://schemas.openxmlformats.org/officeDocument/2006/relationships/image" Target="../media/image37.jpeg"/><Relationship Id="rId16" Type="http://schemas.openxmlformats.org/officeDocument/2006/relationships/image" Target="../media/image51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10" Type="http://schemas.openxmlformats.org/officeDocument/2006/relationships/image" Target="../media/image45.jpeg"/><Relationship Id="rId19" Type="http://schemas.openxmlformats.org/officeDocument/2006/relationships/hyperlink" Target="#&#1054;&#1073;&#1097;&#1080;&#1081;!A1"/><Relationship Id="rId4" Type="http://schemas.openxmlformats.org/officeDocument/2006/relationships/image" Target="../media/image39.jpeg"/><Relationship Id="rId9" Type="http://schemas.openxmlformats.org/officeDocument/2006/relationships/image" Target="../media/image44.png"/><Relationship Id="rId1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26" Type="http://schemas.openxmlformats.org/officeDocument/2006/relationships/image" Target="../media/image75.jpeg"/><Relationship Id="rId3" Type="http://schemas.openxmlformats.org/officeDocument/2006/relationships/image" Target="../media/image54.jpeg"/><Relationship Id="rId21" Type="http://schemas.openxmlformats.org/officeDocument/2006/relationships/image" Target="../media/image72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5" Type="http://schemas.openxmlformats.org/officeDocument/2006/relationships/hyperlink" Target="#&#1054;&#1073;&#1097;&#1080;&#1081;!A1"/><Relationship Id="rId2" Type="http://schemas.openxmlformats.org/officeDocument/2006/relationships/image" Target="http://www.omax.ru/images/fixture/screw7.gif" TargetMode="External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1" Type="http://schemas.openxmlformats.org/officeDocument/2006/relationships/image" Target="../media/image53.pn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24" Type="http://schemas.openxmlformats.org/officeDocument/2006/relationships/image" Target="../media/image74.pn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23" Type="http://schemas.openxmlformats.org/officeDocument/2006/relationships/image" Target="../media/image11.pn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97;&#1080;&#1081;!A1"/><Relationship Id="rId2" Type="http://schemas.openxmlformats.org/officeDocument/2006/relationships/image" Target="../media/image74.png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219076</xdr:colOff>
      <xdr:row>9</xdr:row>
      <xdr:rowOff>76201</xdr:rowOff>
    </xdr:from>
    <xdr:to>
      <xdr:col>1</xdr:col>
      <xdr:colOff>1028700</xdr:colOff>
      <xdr:row>13</xdr:row>
      <xdr:rowOff>114300</xdr:rowOff>
    </xdr:to>
    <xdr:pic>
      <xdr:nvPicPr>
        <xdr:cNvPr id="3" name="Рисунок 2" descr="C:\Users\Руслан\Desktop\1gazobeton\Продукция\Блоки\YTONG.jpg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000126"/>
          <a:ext cx="809624" cy="809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257175</xdr:colOff>
      <xdr:row>14</xdr:row>
      <xdr:rowOff>123825</xdr:rowOff>
    </xdr:from>
    <xdr:to>
      <xdr:col>1</xdr:col>
      <xdr:colOff>990600</xdr:colOff>
      <xdr:row>18</xdr:row>
      <xdr:rowOff>85725</xdr:rowOff>
    </xdr:to>
    <xdr:pic>
      <xdr:nvPicPr>
        <xdr:cNvPr id="5" name="Рисунок 4" descr="C:\Users\Руслан\Desktop\1gazobeton\Продукция\Блоки\elblock.jpg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09775"/>
          <a:ext cx="733425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19</xdr:row>
      <xdr:rowOff>76200</xdr:rowOff>
    </xdr:from>
    <xdr:to>
      <xdr:col>1</xdr:col>
      <xdr:colOff>990600</xdr:colOff>
      <xdr:row>23</xdr:row>
      <xdr:rowOff>114300</xdr:rowOff>
    </xdr:to>
    <xdr:pic>
      <xdr:nvPicPr>
        <xdr:cNvPr id="10" name="Рисунок 9" descr="C:\Users\Руслан\Desktop\1gazobeton\Продукция\Блоки\eco.jpg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924175"/>
          <a:ext cx="8096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152400</xdr:colOff>
      <xdr:row>59</xdr:row>
      <xdr:rowOff>89187</xdr:rowOff>
    </xdr:from>
    <xdr:to>
      <xdr:col>1</xdr:col>
      <xdr:colOff>1000125</xdr:colOff>
      <xdr:row>63</xdr:row>
      <xdr:rowOff>152400</xdr:rowOff>
    </xdr:to>
    <xdr:pic>
      <xdr:nvPicPr>
        <xdr:cNvPr id="23" name="Рисунок 2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928637"/>
          <a:ext cx="847725" cy="834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54</xdr:row>
      <xdr:rowOff>64294</xdr:rowOff>
    </xdr:from>
    <xdr:to>
      <xdr:col>1</xdr:col>
      <xdr:colOff>1028700</xdr:colOff>
      <xdr:row>58</xdr:row>
      <xdr:rowOff>142875</xdr:rowOff>
    </xdr:to>
    <xdr:pic>
      <xdr:nvPicPr>
        <xdr:cNvPr id="25" name="Рисунок 24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417969"/>
          <a:ext cx="866775" cy="850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49</xdr:row>
      <xdr:rowOff>53822</xdr:rowOff>
    </xdr:from>
    <xdr:to>
      <xdr:col>1</xdr:col>
      <xdr:colOff>962025</xdr:colOff>
      <xdr:row>53</xdr:row>
      <xdr:rowOff>161925</xdr:rowOff>
    </xdr:to>
    <xdr:pic>
      <xdr:nvPicPr>
        <xdr:cNvPr id="26" name="Рисунок 25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435947"/>
          <a:ext cx="723900" cy="87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39</xdr:row>
      <xdr:rowOff>57149</xdr:rowOff>
    </xdr:from>
    <xdr:to>
      <xdr:col>1</xdr:col>
      <xdr:colOff>1056316</xdr:colOff>
      <xdr:row>43</xdr:row>
      <xdr:rowOff>133349</xdr:rowOff>
    </xdr:to>
    <xdr:pic>
      <xdr:nvPicPr>
        <xdr:cNvPr id="27" name="Рисунок 26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7496174"/>
          <a:ext cx="913441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44</xdr:row>
      <xdr:rowOff>38099</xdr:rowOff>
    </xdr:from>
    <xdr:to>
      <xdr:col>1</xdr:col>
      <xdr:colOff>1135623</xdr:colOff>
      <xdr:row>48</xdr:row>
      <xdr:rowOff>85725</xdr:rowOff>
    </xdr:to>
    <xdr:pic>
      <xdr:nvPicPr>
        <xdr:cNvPr id="28" name="Рисунок 27" descr="http://www.grandline.ru/uploads/images/01_small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448674"/>
          <a:ext cx="1049898" cy="819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29</xdr:row>
      <xdr:rowOff>66675</xdr:rowOff>
    </xdr:from>
    <xdr:to>
      <xdr:col>1</xdr:col>
      <xdr:colOff>1070647</xdr:colOff>
      <xdr:row>33</xdr:row>
      <xdr:rowOff>114300</xdr:rowOff>
    </xdr:to>
    <xdr:pic>
      <xdr:nvPicPr>
        <xdr:cNvPr id="29" name="Рисунок 28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562600"/>
          <a:ext cx="93729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142875</xdr:rowOff>
    </xdr:from>
    <xdr:to>
      <xdr:col>1</xdr:col>
      <xdr:colOff>1233581</xdr:colOff>
      <xdr:row>38</xdr:row>
      <xdr:rowOff>76200</xdr:rowOff>
    </xdr:to>
    <xdr:pic>
      <xdr:nvPicPr>
        <xdr:cNvPr id="30" name="Рисунок 29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610350"/>
          <a:ext cx="1195481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57150</xdr:rowOff>
    </xdr:from>
    <xdr:to>
      <xdr:col>3</xdr:col>
      <xdr:colOff>416227</xdr:colOff>
      <xdr:row>3</xdr:row>
      <xdr:rowOff>523875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150"/>
          <a:ext cx="3702352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64</xdr:row>
      <xdr:rowOff>104774</xdr:rowOff>
    </xdr:from>
    <xdr:to>
      <xdr:col>1</xdr:col>
      <xdr:colOff>1072003</xdr:colOff>
      <xdr:row>68</xdr:row>
      <xdr:rowOff>76199</xdr:rowOff>
    </xdr:to>
    <xdr:pic>
      <xdr:nvPicPr>
        <xdr:cNvPr id="2" name="Рисунок 1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2230099"/>
          <a:ext cx="919602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24</xdr:row>
      <xdr:rowOff>85725</xdr:rowOff>
    </xdr:from>
    <xdr:to>
      <xdr:col>1</xdr:col>
      <xdr:colOff>1226508</xdr:colOff>
      <xdr:row>28</xdr:row>
      <xdr:rowOff>161925</xdr:rowOff>
    </xdr:to>
    <xdr:pic>
      <xdr:nvPicPr>
        <xdr:cNvPr id="15" name="Рисунок 14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410200"/>
          <a:ext cx="104553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1828800</xdr:colOff>
      <xdr:row>12</xdr:row>
      <xdr:rowOff>38100</xdr:rowOff>
    </xdr:from>
    <xdr:to>
      <xdr:col>0</xdr:col>
      <xdr:colOff>1990725</xdr:colOff>
      <xdr:row>12</xdr:row>
      <xdr:rowOff>200025</xdr:rowOff>
    </xdr:to>
    <xdr:sp macro="" textlink="">
      <xdr:nvSpPr>
        <xdr:cNvPr id="2" name="Стрелка вправо 1"/>
        <xdr:cNvSpPr/>
      </xdr:nvSpPr>
      <xdr:spPr>
        <a:xfrm>
          <a:off x="1828800" y="1409700"/>
          <a:ext cx="161925" cy="1524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1828800</xdr:colOff>
      <xdr:row>12</xdr:row>
      <xdr:rowOff>38100</xdr:rowOff>
    </xdr:from>
    <xdr:to>
      <xdr:col>0</xdr:col>
      <xdr:colOff>1990725</xdr:colOff>
      <xdr:row>12</xdr:row>
      <xdr:rowOff>200025</xdr:rowOff>
    </xdr:to>
    <xdr:sp macro="" textlink="">
      <xdr:nvSpPr>
        <xdr:cNvPr id="4" name="Стрелка вправо 3"/>
        <xdr:cNvSpPr/>
      </xdr:nvSpPr>
      <xdr:spPr>
        <a:xfrm>
          <a:off x="1828800" y="1409700"/>
          <a:ext cx="161925" cy="1524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2959402</xdr:colOff>
      <xdr:row>3</xdr:row>
      <xdr:rowOff>47625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2352" cy="962025"/>
        </a:xfrm>
        <a:prstGeom prst="rect">
          <a:avLst/>
        </a:prstGeom>
      </xdr:spPr>
    </xdr:pic>
    <xdr:clientData/>
  </xdr:twoCellAnchor>
  <xdr:twoCellAnchor>
    <xdr:from>
      <xdr:col>4</xdr:col>
      <xdr:colOff>219076</xdr:colOff>
      <xdr:row>0</xdr:row>
      <xdr:rowOff>57150</xdr:rowOff>
    </xdr:from>
    <xdr:to>
      <xdr:col>5</xdr:col>
      <xdr:colOff>180976</xdr:colOff>
      <xdr:row>2</xdr:row>
      <xdr:rowOff>133350</xdr:rowOff>
    </xdr:to>
    <xdr:pic>
      <xdr:nvPicPr>
        <xdr:cNvPr id="6" name="Picture 2" descr="_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6" y="57150"/>
          <a:ext cx="1143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0</xdr:row>
          <xdr:rowOff>76200</xdr:rowOff>
        </xdr:from>
        <xdr:to>
          <xdr:col>5</xdr:col>
          <xdr:colOff>1533525</xdr:colOff>
          <xdr:row>2</xdr:row>
          <xdr:rowOff>66675</xdr:rowOff>
        </xdr:to>
        <xdr:sp macro="" textlink="">
          <xdr:nvSpPr>
            <xdr:cNvPr id="9217" name="Рисунок 8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419100</xdr:colOff>
      <xdr:row>5</xdr:row>
      <xdr:rowOff>38100</xdr:rowOff>
    </xdr:from>
    <xdr:to>
      <xdr:col>0</xdr:col>
      <xdr:colOff>685800</xdr:colOff>
      <xdr:row>6</xdr:row>
      <xdr:rowOff>38100</xdr:rowOff>
    </xdr:to>
    <xdr:sp macro="" textlink="">
      <xdr:nvSpPr>
        <xdr:cNvPr id="12" name="Стрелка вправо 11">
          <a:hlinkClick xmlns:r="http://schemas.openxmlformats.org/officeDocument/2006/relationships" r:id="rId3"/>
        </xdr:cNvPr>
        <xdr:cNvSpPr/>
      </xdr:nvSpPr>
      <xdr:spPr>
        <a:xfrm>
          <a:off x="419100" y="1562100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39157</xdr:colOff>
      <xdr:row>0</xdr:row>
      <xdr:rowOff>0</xdr:rowOff>
    </xdr:from>
    <xdr:to>
      <xdr:col>13</xdr:col>
      <xdr:colOff>1058332</xdr:colOff>
      <xdr:row>4</xdr:row>
      <xdr:rowOff>285750</xdr:rowOff>
    </xdr:to>
    <xdr:pic>
      <xdr:nvPicPr>
        <xdr:cNvPr id="7" name="Picture 2" descr="WEBER-VETONIT_LOGO_06-2010-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8240" y="0"/>
          <a:ext cx="2998259" cy="1153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740077</xdr:colOff>
      <xdr:row>4</xdr:row>
      <xdr:rowOff>171450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2352" cy="1038225"/>
        </a:xfrm>
        <a:prstGeom prst="rect">
          <a:avLst/>
        </a:prstGeom>
      </xdr:spPr>
    </xdr:pic>
    <xdr:clientData/>
  </xdr:twoCellAnchor>
  <xdr:twoCellAnchor>
    <xdr:from>
      <xdr:col>0</xdr:col>
      <xdr:colOff>971550</xdr:colOff>
      <xdr:row>6</xdr:row>
      <xdr:rowOff>19050</xdr:rowOff>
    </xdr:from>
    <xdr:to>
      <xdr:col>0</xdr:col>
      <xdr:colOff>1238250</xdr:colOff>
      <xdr:row>7</xdr:row>
      <xdr:rowOff>19050</xdr:rowOff>
    </xdr:to>
    <xdr:sp macro="" textlink="">
      <xdr:nvSpPr>
        <xdr:cNvPr id="20" name="Стрелка вправо 19">
          <a:hlinkClick xmlns:r="http://schemas.openxmlformats.org/officeDocument/2006/relationships" r:id="rId3"/>
        </xdr:cNvPr>
        <xdr:cNvSpPr/>
      </xdr:nvSpPr>
      <xdr:spPr>
        <a:xfrm>
          <a:off x="971550" y="1571625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1019175</xdr:rowOff>
    </xdr:from>
    <xdr:to>
      <xdr:col>0</xdr:col>
      <xdr:colOff>9525</xdr:colOff>
      <xdr:row>72</xdr:row>
      <xdr:rowOff>9525</xdr:rowOff>
    </xdr:to>
    <xdr:pic>
      <xdr:nvPicPr>
        <xdr:cNvPr id="9" name="Picture 28" descr="4-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9525</xdr:colOff>
      <xdr:row>74</xdr:row>
      <xdr:rowOff>9525</xdr:rowOff>
    </xdr:to>
    <xdr:pic>
      <xdr:nvPicPr>
        <xdr:cNvPr id="10" name="Picture 29" descr="2-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3275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19050</xdr:colOff>
      <xdr:row>76</xdr:row>
      <xdr:rowOff>9525</xdr:rowOff>
    </xdr:to>
    <xdr:pic>
      <xdr:nvPicPr>
        <xdr:cNvPr id="11" name="Picture 30" descr="2-3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07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9525</xdr:colOff>
      <xdr:row>78</xdr:row>
      <xdr:rowOff>9525</xdr:rowOff>
    </xdr:to>
    <xdr:pic>
      <xdr:nvPicPr>
        <xdr:cNvPr id="12" name="Picture 31" descr="2-4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77</xdr:row>
      <xdr:rowOff>962025</xdr:rowOff>
    </xdr:from>
    <xdr:to>
      <xdr:col>0</xdr:col>
      <xdr:colOff>9525</xdr:colOff>
      <xdr:row>79</xdr:row>
      <xdr:rowOff>0</xdr:rowOff>
    </xdr:to>
    <xdr:pic>
      <xdr:nvPicPr>
        <xdr:cNvPr id="13" name="Picture 32" descr="2-5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25275"/>
          <a:ext cx="9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1476375</xdr:colOff>
      <xdr:row>0</xdr:row>
      <xdr:rowOff>23379</xdr:rowOff>
    </xdr:from>
    <xdr:to>
      <xdr:col>6</xdr:col>
      <xdr:colOff>19916</xdr:colOff>
      <xdr:row>3</xdr:row>
      <xdr:rowOff>204354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693" y="23379"/>
          <a:ext cx="2353541" cy="856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47625</xdr:rowOff>
    </xdr:from>
    <xdr:to>
      <xdr:col>1</xdr:col>
      <xdr:colOff>1654477</xdr:colOff>
      <xdr:row>3</xdr:row>
      <xdr:rowOff>409575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625"/>
          <a:ext cx="3702352" cy="1038225"/>
        </a:xfrm>
        <a:prstGeom prst="rect">
          <a:avLst/>
        </a:prstGeom>
      </xdr:spPr>
    </xdr:pic>
    <xdr:clientData/>
  </xdr:twoCellAnchor>
  <xdr:twoCellAnchor>
    <xdr:from>
      <xdr:col>0</xdr:col>
      <xdr:colOff>1775114</xdr:colOff>
      <xdr:row>5</xdr:row>
      <xdr:rowOff>34636</xdr:rowOff>
    </xdr:from>
    <xdr:to>
      <xdr:col>0</xdr:col>
      <xdr:colOff>2041814</xdr:colOff>
      <xdr:row>5</xdr:row>
      <xdr:rowOff>272761</xdr:rowOff>
    </xdr:to>
    <xdr:sp macro="" textlink="">
      <xdr:nvSpPr>
        <xdr:cNvPr id="16" name="Стрелка вправо 15">
          <a:hlinkClick xmlns:r="http://schemas.openxmlformats.org/officeDocument/2006/relationships" r:id="rId8"/>
        </xdr:cNvPr>
        <xdr:cNvSpPr/>
      </xdr:nvSpPr>
      <xdr:spPr>
        <a:xfrm>
          <a:off x="1775114" y="1472045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1610592</xdr:colOff>
      <xdr:row>3</xdr:row>
      <xdr:rowOff>435887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489614" cy="1007386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0</xdr:row>
      <xdr:rowOff>0</xdr:rowOff>
    </xdr:from>
    <xdr:to>
      <xdr:col>9</xdr:col>
      <xdr:colOff>38100</xdr:colOff>
      <xdr:row>4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0"/>
          <a:ext cx="1552575" cy="1238250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5</xdr:row>
      <xdr:rowOff>47625</xdr:rowOff>
    </xdr:from>
    <xdr:to>
      <xdr:col>0</xdr:col>
      <xdr:colOff>600075</xdr:colOff>
      <xdr:row>5</xdr:row>
      <xdr:rowOff>285750</xdr:rowOff>
    </xdr:to>
    <xdr:sp macro="" textlink="">
      <xdr:nvSpPr>
        <xdr:cNvPr id="6" name="Стрелка вправо 5">
          <a:hlinkClick xmlns:r="http://schemas.openxmlformats.org/officeDocument/2006/relationships" r:id="rId3"/>
        </xdr:cNvPr>
        <xdr:cNvSpPr/>
      </xdr:nvSpPr>
      <xdr:spPr>
        <a:xfrm>
          <a:off x="295275" y="1647825"/>
          <a:ext cx="3048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257174</xdr:colOff>
      <xdr:row>10</xdr:row>
      <xdr:rowOff>9525</xdr:rowOff>
    </xdr:from>
    <xdr:to>
      <xdr:col>0</xdr:col>
      <xdr:colOff>1752599</xdr:colOff>
      <xdr:row>13</xdr:row>
      <xdr:rowOff>361950</xdr:rowOff>
    </xdr:to>
    <xdr:pic>
      <xdr:nvPicPr>
        <xdr:cNvPr id="2" name="Рисунок 1" descr="C:\Users\Руслан\Desktop\1gazobeton\Продукция\Блоки\YTONG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" y="13430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257174</xdr:colOff>
      <xdr:row>15</xdr:row>
      <xdr:rowOff>9525</xdr:rowOff>
    </xdr:from>
    <xdr:ext cx="1495425" cy="1495425"/>
    <xdr:pic>
      <xdr:nvPicPr>
        <xdr:cNvPr id="3" name="Рисунок 2" descr="C:\Users\Руслан\Desktop\1gazobeton\Продукция\Блоки\YTONG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" y="13430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266699</xdr:colOff>
      <xdr:row>20</xdr:row>
      <xdr:rowOff>28575</xdr:rowOff>
    </xdr:from>
    <xdr:ext cx="1495425" cy="1495425"/>
    <xdr:pic>
      <xdr:nvPicPr>
        <xdr:cNvPr id="4" name="Рисунок 3" descr="C:\Users\Руслан\Desktop\1gazobeton\Продукция\Блоки\YTONG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51720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266699</xdr:colOff>
      <xdr:row>25</xdr:row>
      <xdr:rowOff>28575</xdr:rowOff>
    </xdr:from>
    <xdr:ext cx="1495425" cy="1495425"/>
    <xdr:pic>
      <xdr:nvPicPr>
        <xdr:cNvPr id="5" name="Рисунок 4" descr="C:\Users\Руслан\Desktop\1gazobeton\Продукция\Блоки\YTONG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51720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266699</xdr:colOff>
      <xdr:row>30</xdr:row>
      <xdr:rowOff>28575</xdr:rowOff>
    </xdr:from>
    <xdr:ext cx="1495425" cy="1495425"/>
    <xdr:pic>
      <xdr:nvPicPr>
        <xdr:cNvPr id="6" name="Рисунок 5" descr="C:\Users\Руслан\Desktop\1gazobeton\Продукция\Блоки\YTONG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65055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9</xdr:col>
      <xdr:colOff>1162049</xdr:colOff>
      <xdr:row>0</xdr:row>
      <xdr:rowOff>19050</xdr:rowOff>
    </xdr:from>
    <xdr:to>
      <xdr:col>11</xdr:col>
      <xdr:colOff>9524</xdr:colOff>
      <xdr:row>4</xdr:row>
      <xdr:rowOff>257175</xdr:rowOff>
    </xdr:to>
    <xdr:pic>
      <xdr:nvPicPr>
        <xdr:cNvPr id="9" name="Рисунок 8" descr="C:\Users\Руслан\Desktop\1gazobeton\Продукция\логотипы чистые\logo-ytong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5874" y="19050"/>
          <a:ext cx="1171575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1733550</xdr:colOff>
      <xdr:row>6</xdr:row>
      <xdr:rowOff>28574</xdr:rowOff>
    </xdr:from>
    <xdr:to>
      <xdr:col>0</xdr:col>
      <xdr:colOff>2000250</xdr:colOff>
      <xdr:row>7</xdr:row>
      <xdr:rowOff>28574</xdr:rowOff>
    </xdr:to>
    <xdr:sp macro="" textlink="">
      <xdr:nvSpPr>
        <xdr:cNvPr id="13" name="Стрелка вправо 12">
          <a:hlinkClick xmlns:r="http://schemas.openxmlformats.org/officeDocument/2006/relationships" r:id="rId3"/>
        </xdr:cNvPr>
        <xdr:cNvSpPr/>
      </xdr:nvSpPr>
      <xdr:spPr>
        <a:xfrm>
          <a:off x="1733550" y="1400174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</xdr:colOff>
      <xdr:row>6</xdr:row>
      <xdr:rowOff>28574</xdr:rowOff>
    </xdr:from>
    <xdr:to>
      <xdr:col>3</xdr:col>
      <xdr:colOff>238125</xdr:colOff>
      <xdr:row>6</xdr:row>
      <xdr:rowOff>209549</xdr:rowOff>
    </xdr:to>
    <xdr:sp macro="" textlink="">
      <xdr:nvSpPr>
        <xdr:cNvPr id="14" name="5-конечная звезда 13"/>
        <xdr:cNvSpPr/>
      </xdr:nvSpPr>
      <xdr:spPr>
        <a:xfrm>
          <a:off x="4686300" y="1400174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</xdr:colOff>
      <xdr:row>5</xdr:row>
      <xdr:rowOff>28575</xdr:rowOff>
    </xdr:from>
    <xdr:to>
      <xdr:col>3</xdr:col>
      <xdr:colOff>238125</xdr:colOff>
      <xdr:row>5</xdr:row>
      <xdr:rowOff>209550</xdr:rowOff>
    </xdr:to>
    <xdr:sp macro="" textlink="">
      <xdr:nvSpPr>
        <xdr:cNvPr id="15" name="5-конечная звезда 14"/>
        <xdr:cNvSpPr/>
      </xdr:nvSpPr>
      <xdr:spPr>
        <a:xfrm>
          <a:off x="4686300" y="1162050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1635427</xdr:colOff>
      <xdr:row>4</xdr:row>
      <xdr:rowOff>171450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2352" cy="1038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6</xdr:row>
      <xdr:rowOff>28574</xdr:rowOff>
    </xdr:from>
    <xdr:to>
      <xdr:col>3</xdr:col>
      <xdr:colOff>238125</xdr:colOff>
      <xdr:row>6</xdr:row>
      <xdr:rowOff>209549</xdr:rowOff>
    </xdr:to>
    <xdr:sp macro="" textlink="">
      <xdr:nvSpPr>
        <xdr:cNvPr id="10" name="5-конечная звезда 9"/>
        <xdr:cNvSpPr/>
      </xdr:nvSpPr>
      <xdr:spPr>
        <a:xfrm>
          <a:off x="4686300" y="1400174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</xdr:colOff>
      <xdr:row>5</xdr:row>
      <xdr:rowOff>28575</xdr:rowOff>
    </xdr:from>
    <xdr:to>
      <xdr:col>3</xdr:col>
      <xdr:colOff>238125</xdr:colOff>
      <xdr:row>5</xdr:row>
      <xdr:rowOff>209550</xdr:rowOff>
    </xdr:to>
    <xdr:sp macro="" textlink="">
      <xdr:nvSpPr>
        <xdr:cNvPr id="11" name="5-конечная звезда 10"/>
        <xdr:cNvSpPr/>
      </xdr:nvSpPr>
      <xdr:spPr>
        <a:xfrm>
          <a:off x="4686300" y="1162050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19050</xdr:colOff>
      <xdr:row>0</xdr:row>
      <xdr:rowOff>57150</xdr:rowOff>
    </xdr:from>
    <xdr:to>
      <xdr:col>10</xdr:col>
      <xdr:colOff>828675</xdr:colOff>
      <xdr:row>5</xdr:row>
      <xdr:rowOff>47625</xdr:rowOff>
    </xdr:to>
    <xdr:pic>
      <xdr:nvPicPr>
        <xdr:cNvPr id="12" name="Рисунок 11" descr="C:\Users\Руслан\Desktop\1gazobeton\Продукция\логотипы чистые\logo-ElBlock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57150"/>
          <a:ext cx="19716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257175</xdr:colOff>
      <xdr:row>11</xdr:row>
      <xdr:rowOff>257175</xdr:rowOff>
    </xdr:from>
    <xdr:to>
      <xdr:col>0</xdr:col>
      <xdr:colOff>1657350</xdr:colOff>
      <xdr:row>15</xdr:row>
      <xdr:rowOff>133350</xdr:rowOff>
    </xdr:to>
    <xdr:pic>
      <xdr:nvPicPr>
        <xdr:cNvPr id="13" name="Рисунок 12" descr="C:\Users\Руслан\Desktop\1gazobeton\Продукция\Блоки\elblock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48025"/>
          <a:ext cx="14001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333375</xdr:colOff>
      <xdr:row>20</xdr:row>
      <xdr:rowOff>57150</xdr:rowOff>
    </xdr:from>
    <xdr:to>
      <xdr:col>0</xdr:col>
      <xdr:colOff>1733550</xdr:colOff>
      <xdr:row>23</xdr:row>
      <xdr:rowOff>314325</xdr:rowOff>
    </xdr:to>
    <xdr:pic>
      <xdr:nvPicPr>
        <xdr:cNvPr id="14" name="Рисунок 13" descr="C:\Users\Руслан\Desktop\1gazobeton\Продукция\Блоки\elblock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524500"/>
          <a:ext cx="14001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304800</xdr:colOff>
      <xdr:row>29</xdr:row>
      <xdr:rowOff>66675</xdr:rowOff>
    </xdr:from>
    <xdr:to>
      <xdr:col>0</xdr:col>
      <xdr:colOff>1704975</xdr:colOff>
      <xdr:row>32</xdr:row>
      <xdr:rowOff>323850</xdr:rowOff>
    </xdr:to>
    <xdr:pic>
      <xdr:nvPicPr>
        <xdr:cNvPr id="15" name="Рисунок 14" descr="C:\Users\Руслан\Desktop\1gazobeton\Продукция\Блоки\elblock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10525"/>
          <a:ext cx="14001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1635427</xdr:colOff>
      <xdr:row>4</xdr:row>
      <xdr:rowOff>209550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0235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1664002</xdr:colOff>
      <xdr:row>4</xdr:row>
      <xdr:rowOff>200025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3702352" cy="1038225"/>
        </a:xfrm>
        <a:prstGeom prst="rect">
          <a:avLst/>
        </a:prstGeom>
      </xdr:spPr>
    </xdr:pic>
    <xdr:clientData/>
  </xdr:twoCellAnchor>
  <xdr:twoCellAnchor>
    <xdr:from>
      <xdr:col>0</xdr:col>
      <xdr:colOff>1790700</xdr:colOff>
      <xdr:row>6</xdr:row>
      <xdr:rowOff>0</xdr:rowOff>
    </xdr:from>
    <xdr:to>
      <xdr:col>0</xdr:col>
      <xdr:colOff>2057400</xdr:colOff>
      <xdr:row>7</xdr:row>
      <xdr:rowOff>0</xdr:rowOff>
    </xdr:to>
    <xdr:sp macro="" textlink="">
      <xdr:nvSpPr>
        <xdr:cNvPr id="18" name="Стрелка вправо 17">
          <a:hlinkClick xmlns:r="http://schemas.openxmlformats.org/officeDocument/2006/relationships" r:id="rId4"/>
        </xdr:cNvPr>
        <xdr:cNvSpPr/>
      </xdr:nvSpPr>
      <xdr:spPr>
        <a:xfrm>
          <a:off x="1790700" y="1371600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6</xdr:row>
      <xdr:rowOff>28574</xdr:rowOff>
    </xdr:from>
    <xdr:to>
      <xdr:col>3</xdr:col>
      <xdr:colOff>238125</xdr:colOff>
      <xdr:row>6</xdr:row>
      <xdr:rowOff>209549</xdr:rowOff>
    </xdr:to>
    <xdr:sp macro="" textlink="">
      <xdr:nvSpPr>
        <xdr:cNvPr id="4" name="5-конечная звезда 3"/>
        <xdr:cNvSpPr/>
      </xdr:nvSpPr>
      <xdr:spPr>
        <a:xfrm>
          <a:off x="4686300" y="1400174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</xdr:colOff>
      <xdr:row>5</xdr:row>
      <xdr:rowOff>28575</xdr:rowOff>
    </xdr:from>
    <xdr:to>
      <xdr:col>3</xdr:col>
      <xdr:colOff>238125</xdr:colOff>
      <xdr:row>5</xdr:row>
      <xdr:rowOff>209550</xdr:rowOff>
    </xdr:to>
    <xdr:sp macro="" textlink="">
      <xdr:nvSpPr>
        <xdr:cNvPr id="5" name="5-конечная звезда 4"/>
        <xdr:cNvSpPr/>
      </xdr:nvSpPr>
      <xdr:spPr>
        <a:xfrm>
          <a:off x="4686300" y="1162050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114300</xdr:colOff>
      <xdr:row>11</xdr:row>
      <xdr:rowOff>171450</xdr:rowOff>
    </xdr:from>
    <xdr:to>
      <xdr:col>0</xdr:col>
      <xdr:colOff>1943100</xdr:colOff>
      <xdr:row>16</xdr:row>
      <xdr:rowOff>95250</xdr:rowOff>
    </xdr:to>
    <xdr:pic>
      <xdr:nvPicPr>
        <xdr:cNvPr id="10" name="Рисунок 9" descr="C:\Users\Руслан\Desktop\1gazobeton\Продукция\Блоки\ec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162300"/>
          <a:ext cx="1828800" cy="1828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19</xdr:row>
      <xdr:rowOff>219075</xdr:rowOff>
    </xdr:from>
    <xdr:to>
      <xdr:col>0</xdr:col>
      <xdr:colOff>1933575</xdr:colOff>
      <xdr:row>24</xdr:row>
      <xdr:rowOff>142875</xdr:rowOff>
    </xdr:to>
    <xdr:pic>
      <xdr:nvPicPr>
        <xdr:cNvPr id="11" name="Рисунок 10" descr="C:\Users\Руслан\Desktop\1gazobeton\Продукция\Блоки\ec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305425"/>
          <a:ext cx="1828800" cy="1828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28</xdr:row>
      <xdr:rowOff>219075</xdr:rowOff>
    </xdr:from>
    <xdr:to>
      <xdr:col>0</xdr:col>
      <xdr:colOff>1962150</xdr:colOff>
      <xdr:row>33</xdr:row>
      <xdr:rowOff>142875</xdr:rowOff>
    </xdr:to>
    <xdr:pic>
      <xdr:nvPicPr>
        <xdr:cNvPr id="12" name="Рисунок 11" descr="C:\Users\Руслан\Desktop\1gazobeton\Продукция\Блоки\ec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781925"/>
          <a:ext cx="1828800" cy="1828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1419225</xdr:colOff>
      <xdr:row>0</xdr:row>
      <xdr:rowOff>66675</xdr:rowOff>
    </xdr:from>
    <xdr:to>
      <xdr:col>11</xdr:col>
      <xdr:colOff>0</xdr:colOff>
      <xdr:row>3</xdr:row>
      <xdr:rowOff>123825</xdr:rowOff>
    </xdr:to>
    <xdr:pic>
      <xdr:nvPicPr>
        <xdr:cNvPr id="14" name="Рисунок 13" descr="C:\Users\Руслан\Desktop\1gazobeton\Продукция\логотипы чистые\logo-eco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66675"/>
          <a:ext cx="2581275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38100</xdr:rowOff>
    </xdr:from>
    <xdr:to>
      <xdr:col>1</xdr:col>
      <xdr:colOff>1730677</xdr:colOff>
      <xdr:row>4</xdr:row>
      <xdr:rowOff>209550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8100"/>
          <a:ext cx="3702352" cy="1038225"/>
        </a:xfrm>
        <a:prstGeom prst="rect">
          <a:avLst/>
        </a:prstGeom>
      </xdr:spPr>
    </xdr:pic>
    <xdr:clientData/>
  </xdr:twoCellAnchor>
  <xdr:twoCellAnchor>
    <xdr:from>
      <xdr:col>0</xdr:col>
      <xdr:colOff>1743075</xdr:colOff>
      <xdr:row>6</xdr:row>
      <xdr:rowOff>9525</xdr:rowOff>
    </xdr:from>
    <xdr:to>
      <xdr:col>0</xdr:col>
      <xdr:colOff>2009775</xdr:colOff>
      <xdr:row>7</xdr:row>
      <xdr:rowOff>9525</xdr:rowOff>
    </xdr:to>
    <xdr:sp macro="" textlink="">
      <xdr:nvSpPr>
        <xdr:cNvPr id="13" name="Стрелка вправо 12">
          <a:hlinkClick xmlns:r="http://schemas.openxmlformats.org/officeDocument/2006/relationships" r:id="rId4"/>
        </xdr:cNvPr>
        <xdr:cNvSpPr/>
      </xdr:nvSpPr>
      <xdr:spPr>
        <a:xfrm>
          <a:off x="1743075" y="1381125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962025</xdr:colOff>
      <xdr:row>0</xdr:row>
      <xdr:rowOff>180975</xdr:rowOff>
    </xdr:from>
    <xdr:to>
      <xdr:col>11</xdr:col>
      <xdr:colOff>3176</xdr:colOff>
      <xdr:row>5</xdr:row>
      <xdr:rowOff>107949</xdr:rowOff>
    </xdr:to>
    <xdr:pic>
      <xdr:nvPicPr>
        <xdr:cNvPr id="2" name="Picture 2" descr="http://www.egaac.ru/bitrix/templates/Plant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80975"/>
          <a:ext cx="4070351" cy="98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1162049</xdr:colOff>
      <xdr:row>6</xdr:row>
      <xdr:rowOff>84859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3724274" cy="1037359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8</xdr:row>
      <xdr:rowOff>28574</xdr:rowOff>
    </xdr:from>
    <xdr:to>
      <xdr:col>3</xdr:col>
      <xdr:colOff>238125</xdr:colOff>
      <xdr:row>8</xdr:row>
      <xdr:rowOff>209549</xdr:rowOff>
    </xdr:to>
    <xdr:sp macro="" textlink="">
      <xdr:nvSpPr>
        <xdr:cNvPr id="4" name="5-конечная звезда 3"/>
        <xdr:cNvSpPr/>
      </xdr:nvSpPr>
      <xdr:spPr>
        <a:xfrm>
          <a:off x="3838575" y="1781174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</xdr:colOff>
      <xdr:row>7</xdr:row>
      <xdr:rowOff>28575</xdr:rowOff>
    </xdr:from>
    <xdr:to>
      <xdr:col>3</xdr:col>
      <xdr:colOff>238125</xdr:colOff>
      <xdr:row>7</xdr:row>
      <xdr:rowOff>209550</xdr:rowOff>
    </xdr:to>
    <xdr:sp macro="" textlink="">
      <xdr:nvSpPr>
        <xdr:cNvPr id="5" name="5-конечная звезда 4"/>
        <xdr:cNvSpPr/>
      </xdr:nvSpPr>
      <xdr:spPr>
        <a:xfrm>
          <a:off x="3838575" y="1543050"/>
          <a:ext cx="180975" cy="180975"/>
        </a:xfrm>
        <a:prstGeom prst="star5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</xdr:colOff>
      <xdr:row>15</xdr:row>
      <xdr:rowOff>0</xdr:rowOff>
    </xdr:from>
    <xdr:to>
      <xdr:col>0</xdr:col>
      <xdr:colOff>1285875</xdr:colOff>
      <xdr:row>17</xdr:row>
      <xdr:rowOff>304800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91025"/>
          <a:ext cx="128587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1276350</xdr:colOff>
      <xdr:row>29</xdr:row>
      <xdr:rowOff>19050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6975"/>
          <a:ext cx="12763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</xdr:rowOff>
    </xdr:from>
    <xdr:to>
      <xdr:col>0</xdr:col>
      <xdr:colOff>1285874</xdr:colOff>
      <xdr:row>37</xdr:row>
      <xdr:rowOff>285750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8551"/>
          <a:ext cx="1285874" cy="885824"/>
        </a:xfrm>
        <a:prstGeom prst="rect">
          <a:avLst/>
        </a:prstGeom>
      </xdr:spPr>
    </xdr:pic>
    <xdr:clientData/>
  </xdr:twoCellAnchor>
  <xdr:twoCellAnchor>
    <xdr:from>
      <xdr:col>0</xdr:col>
      <xdr:colOff>895350</xdr:colOff>
      <xdr:row>8</xdr:row>
      <xdr:rowOff>38100</xdr:rowOff>
    </xdr:from>
    <xdr:to>
      <xdr:col>0</xdr:col>
      <xdr:colOff>1162050</xdr:colOff>
      <xdr:row>9</xdr:row>
      <xdr:rowOff>38100</xdr:rowOff>
    </xdr:to>
    <xdr:sp macro="" textlink="">
      <xdr:nvSpPr>
        <xdr:cNvPr id="10" name="Стрелка вправо 9">
          <a:hlinkClick xmlns:r="http://schemas.openxmlformats.org/officeDocument/2006/relationships" r:id="rId4"/>
        </xdr:cNvPr>
        <xdr:cNvSpPr/>
      </xdr:nvSpPr>
      <xdr:spPr>
        <a:xfrm>
          <a:off x="895350" y="1790700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55</xdr:row>
      <xdr:rowOff>47625</xdr:rowOff>
    </xdr:from>
    <xdr:to>
      <xdr:col>1</xdr:col>
      <xdr:colOff>1019175</xdr:colOff>
      <xdr:row>56</xdr:row>
      <xdr:rowOff>257175</xdr:rowOff>
    </xdr:to>
    <xdr:pic>
      <xdr:nvPicPr>
        <xdr:cNvPr id="13" name="Рисунок 24" descr="Баварская кладк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611600"/>
          <a:ext cx="866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59</xdr:row>
      <xdr:rowOff>66675</xdr:rowOff>
    </xdr:from>
    <xdr:to>
      <xdr:col>1</xdr:col>
      <xdr:colOff>971550</xdr:colOff>
      <xdr:row>60</xdr:row>
      <xdr:rowOff>152400</xdr:rowOff>
    </xdr:to>
    <xdr:pic>
      <xdr:nvPicPr>
        <xdr:cNvPr id="18" name="Рисунок 33" descr="Коричнев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154650"/>
          <a:ext cx="7810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61</xdr:row>
      <xdr:rowOff>66675</xdr:rowOff>
    </xdr:from>
    <xdr:to>
      <xdr:col>1</xdr:col>
      <xdr:colOff>981075</xdr:colOff>
      <xdr:row>62</xdr:row>
      <xdr:rowOff>152400</xdr:rowOff>
    </xdr:to>
    <xdr:pic>
      <xdr:nvPicPr>
        <xdr:cNvPr id="19" name="Рисунок 34" descr="Коричневый рифленый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8916650"/>
          <a:ext cx="800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0</xdr:row>
      <xdr:rowOff>0</xdr:rowOff>
    </xdr:from>
    <xdr:to>
      <xdr:col>8</xdr:col>
      <xdr:colOff>19050</xdr:colOff>
      <xdr:row>5</xdr:row>
      <xdr:rowOff>57150</xdr:rowOff>
    </xdr:to>
    <xdr:pic>
      <xdr:nvPicPr>
        <xdr:cNvPr id="20" name="Рисунок 5" descr="BRAER_Logo_Horiz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0"/>
          <a:ext cx="26289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12</xdr:row>
      <xdr:rowOff>47625</xdr:rowOff>
    </xdr:from>
    <xdr:to>
      <xdr:col>1</xdr:col>
      <xdr:colOff>1038225</xdr:colOff>
      <xdr:row>14</xdr:row>
      <xdr:rowOff>114300</xdr:rowOff>
    </xdr:to>
    <xdr:pic>
      <xdr:nvPicPr>
        <xdr:cNvPr id="21" name="Рисунок 10" descr="10,7 (MaxiThermo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847975"/>
          <a:ext cx="771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17</xdr:row>
      <xdr:rowOff>47625</xdr:rowOff>
    </xdr:from>
    <xdr:to>
      <xdr:col>1</xdr:col>
      <xdr:colOff>1047750</xdr:colOff>
      <xdr:row>19</xdr:row>
      <xdr:rowOff>47625</xdr:rowOff>
    </xdr:to>
    <xdr:pic>
      <xdr:nvPicPr>
        <xdr:cNvPr id="22" name="Рисунок 12" descr="14,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352925"/>
          <a:ext cx="800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20</xdr:row>
      <xdr:rowOff>38100</xdr:rowOff>
    </xdr:from>
    <xdr:to>
      <xdr:col>1</xdr:col>
      <xdr:colOff>990600</xdr:colOff>
      <xdr:row>22</xdr:row>
      <xdr:rowOff>47625</xdr:rowOff>
    </xdr:to>
    <xdr:pic>
      <xdr:nvPicPr>
        <xdr:cNvPr id="23" name="Рисунок 25" descr="5.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086350"/>
          <a:ext cx="676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26</xdr:row>
      <xdr:rowOff>47625</xdr:rowOff>
    </xdr:from>
    <xdr:to>
      <xdr:col>1</xdr:col>
      <xdr:colOff>1028700</xdr:colOff>
      <xdr:row>28</xdr:row>
      <xdr:rowOff>66675</xdr:rowOff>
    </xdr:to>
    <xdr:pic>
      <xdr:nvPicPr>
        <xdr:cNvPr id="24" name="Рисунок 14" descr="7.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581775"/>
          <a:ext cx="752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30</xdr:row>
      <xdr:rowOff>9525</xdr:rowOff>
    </xdr:from>
    <xdr:to>
      <xdr:col>1</xdr:col>
      <xdr:colOff>923925</xdr:colOff>
      <xdr:row>31</xdr:row>
      <xdr:rowOff>323850</xdr:rowOff>
    </xdr:to>
    <xdr:pic>
      <xdr:nvPicPr>
        <xdr:cNvPr id="25" name="Рисунок 19" descr="Smes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86650"/>
          <a:ext cx="542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41</xdr:row>
      <xdr:rowOff>95250</xdr:rowOff>
    </xdr:from>
    <xdr:to>
      <xdr:col>1</xdr:col>
      <xdr:colOff>981075</xdr:colOff>
      <xdr:row>42</xdr:row>
      <xdr:rowOff>180975</xdr:rowOff>
    </xdr:to>
    <xdr:pic>
      <xdr:nvPicPr>
        <xdr:cNvPr id="26" name="Рисунок 11" descr="Красн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25225"/>
          <a:ext cx="790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43</xdr:row>
      <xdr:rowOff>47625</xdr:rowOff>
    </xdr:from>
    <xdr:to>
      <xdr:col>1</xdr:col>
      <xdr:colOff>990600</xdr:colOff>
      <xdr:row>44</xdr:row>
      <xdr:rowOff>133350</xdr:rowOff>
    </xdr:to>
    <xdr:pic>
      <xdr:nvPicPr>
        <xdr:cNvPr id="27" name="Рисунок 13" descr="Красный рифленый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039600"/>
          <a:ext cx="809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45</xdr:row>
      <xdr:rowOff>95250</xdr:rowOff>
    </xdr:from>
    <xdr:to>
      <xdr:col>1</xdr:col>
      <xdr:colOff>962025</xdr:colOff>
      <xdr:row>46</xdr:row>
      <xdr:rowOff>161925</xdr:rowOff>
    </xdr:to>
    <xdr:pic>
      <xdr:nvPicPr>
        <xdr:cNvPr id="28" name="Рисунок 21" descr="кирпич кора дуба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849225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23</xdr:row>
      <xdr:rowOff>28575</xdr:rowOff>
    </xdr:from>
    <xdr:to>
      <xdr:col>1</xdr:col>
      <xdr:colOff>990600</xdr:colOff>
      <xdr:row>25</xdr:row>
      <xdr:rowOff>38100</xdr:rowOff>
    </xdr:to>
    <xdr:pic>
      <xdr:nvPicPr>
        <xdr:cNvPr id="29" name="Рисунок 25" descr="5.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819775"/>
          <a:ext cx="676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15</xdr:row>
      <xdr:rowOff>38100</xdr:rowOff>
    </xdr:from>
    <xdr:to>
      <xdr:col>1</xdr:col>
      <xdr:colOff>1019175</xdr:colOff>
      <xdr:row>16</xdr:row>
      <xdr:rowOff>133350</xdr:rowOff>
    </xdr:to>
    <xdr:pic>
      <xdr:nvPicPr>
        <xdr:cNvPr id="30" name="Рисунок 10" descr="10,7 (MaxiThermo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35814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32</xdr:row>
      <xdr:rowOff>19050</xdr:rowOff>
    </xdr:from>
    <xdr:to>
      <xdr:col>1</xdr:col>
      <xdr:colOff>914400</xdr:colOff>
      <xdr:row>33</xdr:row>
      <xdr:rowOff>238125</xdr:rowOff>
    </xdr:to>
    <xdr:pic>
      <xdr:nvPicPr>
        <xdr:cNvPr id="31" name="Рисунок 19" descr="Smes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8258175"/>
          <a:ext cx="523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47</xdr:row>
      <xdr:rowOff>95250</xdr:rowOff>
    </xdr:from>
    <xdr:to>
      <xdr:col>1</xdr:col>
      <xdr:colOff>962025</xdr:colOff>
      <xdr:row>48</xdr:row>
      <xdr:rowOff>161925</xdr:rowOff>
    </xdr:to>
    <xdr:pic>
      <xdr:nvPicPr>
        <xdr:cNvPr id="32" name="Рисунок 21" descr="кирпич кора дуба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3611225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49</xdr:row>
      <xdr:rowOff>85725</xdr:rowOff>
    </xdr:from>
    <xdr:to>
      <xdr:col>1</xdr:col>
      <xdr:colOff>962025</xdr:colOff>
      <xdr:row>50</xdr:row>
      <xdr:rowOff>152400</xdr:rowOff>
    </xdr:to>
    <xdr:pic>
      <xdr:nvPicPr>
        <xdr:cNvPr id="33" name="Рисунок 21" descr="кирпич кора дуба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363700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63</xdr:row>
      <xdr:rowOff>19050</xdr:rowOff>
    </xdr:from>
    <xdr:to>
      <xdr:col>1</xdr:col>
      <xdr:colOff>1009650</xdr:colOff>
      <xdr:row>63</xdr:row>
      <xdr:rowOff>619125</xdr:rowOff>
    </xdr:to>
    <xdr:pic>
      <xdr:nvPicPr>
        <xdr:cNvPr id="34" name="Рисунок 37" descr="Красн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963102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57</xdr:row>
      <xdr:rowOff>104775</xdr:rowOff>
    </xdr:from>
    <xdr:to>
      <xdr:col>1</xdr:col>
      <xdr:colOff>1076325</xdr:colOff>
      <xdr:row>58</xdr:row>
      <xdr:rowOff>304800</xdr:rowOff>
    </xdr:to>
    <xdr:pic>
      <xdr:nvPicPr>
        <xdr:cNvPr id="35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068925"/>
          <a:ext cx="885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53</xdr:row>
      <xdr:rowOff>104775</xdr:rowOff>
    </xdr:from>
    <xdr:to>
      <xdr:col>1</xdr:col>
      <xdr:colOff>1019175</xdr:colOff>
      <xdr:row>54</xdr:row>
      <xdr:rowOff>123825</xdr:rowOff>
    </xdr:to>
    <xdr:pic>
      <xdr:nvPicPr>
        <xdr:cNvPr id="3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5906750"/>
          <a:ext cx="742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51</xdr:row>
      <xdr:rowOff>19050</xdr:rowOff>
    </xdr:from>
    <xdr:to>
      <xdr:col>1</xdr:col>
      <xdr:colOff>1038225</xdr:colOff>
      <xdr:row>52</xdr:row>
      <xdr:rowOff>190500</xdr:rowOff>
    </xdr:to>
    <xdr:pic>
      <xdr:nvPicPr>
        <xdr:cNvPr id="3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059025"/>
          <a:ext cx="857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64</xdr:row>
      <xdr:rowOff>57150</xdr:rowOff>
    </xdr:from>
    <xdr:to>
      <xdr:col>1</xdr:col>
      <xdr:colOff>1038225</xdr:colOff>
      <xdr:row>64</xdr:row>
      <xdr:rowOff>561975</xdr:rowOff>
    </xdr:to>
    <xdr:pic>
      <xdr:nvPicPr>
        <xdr:cNvPr id="38" name="Рисунок 13" descr="Красный рифленый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0431125"/>
          <a:ext cx="809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1654477</xdr:colOff>
      <xdr:row>5</xdr:row>
      <xdr:rowOff>85725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2352" cy="1038225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6</xdr:row>
      <xdr:rowOff>19050</xdr:rowOff>
    </xdr:from>
    <xdr:to>
      <xdr:col>0</xdr:col>
      <xdr:colOff>590550</xdr:colOff>
      <xdr:row>7</xdr:row>
      <xdr:rowOff>19050</xdr:rowOff>
    </xdr:to>
    <xdr:sp macro="" textlink="">
      <xdr:nvSpPr>
        <xdr:cNvPr id="39" name="Стрелка вправо 38">
          <a:hlinkClick xmlns:r="http://schemas.openxmlformats.org/officeDocument/2006/relationships" r:id="rId18"/>
        </xdr:cNvPr>
        <xdr:cNvSpPr/>
      </xdr:nvSpPr>
      <xdr:spPr>
        <a:xfrm>
          <a:off x="323850" y="1343025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1047750</xdr:colOff>
      <xdr:row>0</xdr:row>
      <xdr:rowOff>0</xdr:rowOff>
    </xdr:from>
    <xdr:to>
      <xdr:col>10</xdr:col>
      <xdr:colOff>0</xdr:colOff>
      <xdr:row>5</xdr:row>
      <xdr:rowOff>130276</xdr:rowOff>
    </xdr:to>
    <xdr:pic>
      <xdr:nvPicPr>
        <xdr:cNvPr id="44" name="Рисунок 23" descr="WB_Fo_4C_mS_NEU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0"/>
          <a:ext cx="2152650" cy="1158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11</xdr:row>
      <xdr:rowOff>57150</xdr:rowOff>
    </xdr:from>
    <xdr:to>
      <xdr:col>2</xdr:col>
      <xdr:colOff>904875</xdr:colOff>
      <xdr:row>11</xdr:row>
      <xdr:rowOff>628650</xdr:rowOff>
    </xdr:to>
    <xdr:pic>
      <xdr:nvPicPr>
        <xdr:cNvPr id="45" name="Picture 12" descr="PTH12_v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885950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12</xdr:row>
      <xdr:rowOff>95250</xdr:rowOff>
    </xdr:from>
    <xdr:to>
      <xdr:col>2</xdr:col>
      <xdr:colOff>876300</xdr:colOff>
      <xdr:row>12</xdr:row>
      <xdr:rowOff>666750</xdr:rowOff>
    </xdr:to>
    <xdr:pic>
      <xdr:nvPicPr>
        <xdr:cNvPr id="46" name="Picture 12" descr="PTH12_v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6193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57150</xdr:rowOff>
    </xdr:from>
    <xdr:to>
      <xdr:col>2</xdr:col>
      <xdr:colOff>838200</xdr:colOff>
      <xdr:row>13</xdr:row>
      <xdr:rowOff>638175</xdr:rowOff>
    </xdr:to>
    <xdr:pic>
      <xdr:nvPicPr>
        <xdr:cNvPr id="47" name="Picture 3" descr="PTH25_v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2861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14</xdr:row>
      <xdr:rowOff>47625</xdr:rowOff>
    </xdr:from>
    <xdr:to>
      <xdr:col>2</xdr:col>
      <xdr:colOff>847725</xdr:colOff>
      <xdr:row>14</xdr:row>
      <xdr:rowOff>628650</xdr:rowOff>
    </xdr:to>
    <xdr:pic>
      <xdr:nvPicPr>
        <xdr:cNvPr id="48" name="Picture 1" descr="PTH38_v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33825"/>
          <a:ext cx="7334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17</xdr:row>
      <xdr:rowOff>66675</xdr:rowOff>
    </xdr:from>
    <xdr:to>
      <xdr:col>2</xdr:col>
      <xdr:colOff>885825</xdr:colOff>
      <xdr:row>17</xdr:row>
      <xdr:rowOff>762000</xdr:rowOff>
    </xdr:to>
    <xdr:pic>
      <xdr:nvPicPr>
        <xdr:cNvPr id="5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6134100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19050</xdr:rowOff>
    </xdr:from>
    <xdr:to>
      <xdr:col>2</xdr:col>
      <xdr:colOff>933450</xdr:colOff>
      <xdr:row>19</xdr:row>
      <xdr:rowOff>733425</xdr:rowOff>
    </xdr:to>
    <xdr:pic>
      <xdr:nvPicPr>
        <xdr:cNvPr id="5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7658100"/>
          <a:ext cx="857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</xdr:row>
      <xdr:rowOff>47625</xdr:rowOff>
    </xdr:from>
    <xdr:to>
      <xdr:col>2</xdr:col>
      <xdr:colOff>857250</xdr:colOff>
      <xdr:row>20</xdr:row>
      <xdr:rowOff>676275</xdr:rowOff>
    </xdr:to>
    <xdr:pic>
      <xdr:nvPicPr>
        <xdr:cNvPr id="5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439150"/>
          <a:ext cx="7715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18</xdr:row>
      <xdr:rowOff>38100</xdr:rowOff>
    </xdr:from>
    <xdr:to>
      <xdr:col>2</xdr:col>
      <xdr:colOff>847725</xdr:colOff>
      <xdr:row>18</xdr:row>
      <xdr:rowOff>733425</xdr:rowOff>
    </xdr:to>
    <xdr:pic>
      <xdr:nvPicPr>
        <xdr:cNvPr id="5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6924675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16</xdr:row>
      <xdr:rowOff>38100</xdr:rowOff>
    </xdr:from>
    <xdr:to>
      <xdr:col>2</xdr:col>
      <xdr:colOff>895350</xdr:colOff>
      <xdr:row>17</xdr:row>
      <xdr:rowOff>0</xdr:rowOff>
    </xdr:to>
    <xdr:pic>
      <xdr:nvPicPr>
        <xdr:cNvPr id="56" name="Picture 6" descr="PTH51_v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5410200"/>
          <a:ext cx="866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</xdr:row>
      <xdr:rowOff>66675</xdr:rowOff>
    </xdr:from>
    <xdr:to>
      <xdr:col>2</xdr:col>
      <xdr:colOff>885825</xdr:colOff>
      <xdr:row>15</xdr:row>
      <xdr:rowOff>695325</xdr:rowOff>
    </xdr:to>
    <xdr:pic>
      <xdr:nvPicPr>
        <xdr:cNvPr id="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4638675"/>
          <a:ext cx="838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38100</xdr:rowOff>
    </xdr:from>
    <xdr:to>
      <xdr:col>2</xdr:col>
      <xdr:colOff>819150</xdr:colOff>
      <xdr:row>22</xdr:row>
      <xdr:rowOff>590550</xdr:rowOff>
    </xdr:to>
    <xdr:pic>
      <xdr:nvPicPr>
        <xdr:cNvPr id="58" name="Picture 5" descr="РТН ТМ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9429750"/>
          <a:ext cx="723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23</xdr:row>
      <xdr:rowOff>123825</xdr:rowOff>
    </xdr:from>
    <xdr:to>
      <xdr:col>2</xdr:col>
      <xdr:colOff>838200</xdr:colOff>
      <xdr:row>23</xdr:row>
      <xdr:rowOff>666750</xdr:rowOff>
    </xdr:to>
    <xdr:pic>
      <xdr:nvPicPr>
        <xdr:cNvPr id="59" name="Picture 5" descr="РТН ТМ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0125075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24</xdr:row>
      <xdr:rowOff>66675</xdr:rowOff>
    </xdr:from>
    <xdr:to>
      <xdr:col>2</xdr:col>
      <xdr:colOff>809625</xdr:colOff>
      <xdr:row>24</xdr:row>
      <xdr:rowOff>571500</xdr:rowOff>
    </xdr:to>
    <xdr:pic>
      <xdr:nvPicPr>
        <xdr:cNvPr id="6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0858500"/>
          <a:ext cx="7048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25</xdr:row>
      <xdr:rowOff>447675</xdr:rowOff>
    </xdr:from>
    <xdr:to>
      <xdr:col>2</xdr:col>
      <xdr:colOff>847725</xdr:colOff>
      <xdr:row>27</xdr:row>
      <xdr:rowOff>400050</xdr:rowOff>
    </xdr:to>
    <xdr:pic>
      <xdr:nvPicPr>
        <xdr:cNvPr id="6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1849100"/>
          <a:ext cx="7620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29</xdr:row>
      <xdr:rowOff>114300</xdr:rowOff>
    </xdr:from>
    <xdr:to>
      <xdr:col>2</xdr:col>
      <xdr:colOff>485775</xdr:colOff>
      <xdr:row>29</xdr:row>
      <xdr:rowOff>581025</xdr:rowOff>
    </xdr:to>
    <xdr:pic>
      <xdr:nvPicPr>
        <xdr:cNvPr id="62" name="Рисунок 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4106525"/>
          <a:ext cx="95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30</xdr:row>
      <xdr:rowOff>76200</xdr:rowOff>
    </xdr:from>
    <xdr:to>
      <xdr:col>2</xdr:col>
      <xdr:colOff>552450</xdr:colOff>
      <xdr:row>30</xdr:row>
      <xdr:rowOff>542925</xdr:rowOff>
    </xdr:to>
    <xdr:pic>
      <xdr:nvPicPr>
        <xdr:cNvPr id="6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4716125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31</xdr:row>
      <xdr:rowOff>152400</xdr:rowOff>
    </xdr:from>
    <xdr:to>
      <xdr:col>2</xdr:col>
      <xdr:colOff>514350</xdr:colOff>
      <xdr:row>31</xdr:row>
      <xdr:rowOff>514350</xdr:rowOff>
    </xdr:to>
    <xdr:pic>
      <xdr:nvPicPr>
        <xdr:cNvPr id="64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5440025"/>
          <a:ext cx="161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32</xdr:row>
      <xdr:rowOff>28575</xdr:rowOff>
    </xdr:from>
    <xdr:to>
      <xdr:col>2</xdr:col>
      <xdr:colOff>676275</xdr:colOff>
      <xdr:row>32</xdr:row>
      <xdr:rowOff>552450</xdr:rowOff>
    </xdr:to>
    <xdr:pic>
      <xdr:nvPicPr>
        <xdr:cNvPr id="65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963900"/>
          <a:ext cx="428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6652</xdr:colOff>
      <xdr:row>5</xdr:row>
      <xdr:rowOff>9525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2352" cy="103822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6</xdr:row>
      <xdr:rowOff>19050</xdr:rowOff>
    </xdr:from>
    <xdr:to>
      <xdr:col>0</xdr:col>
      <xdr:colOff>695325</xdr:colOff>
      <xdr:row>7</xdr:row>
      <xdr:rowOff>19050</xdr:rowOff>
    </xdr:to>
    <xdr:sp macro="" textlink="">
      <xdr:nvSpPr>
        <xdr:cNvPr id="70" name="Стрелка вправо 69">
          <a:hlinkClick xmlns:r="http://schemas.openxmlformats.org/officeDocument/2006/relationships" r:id="rId19"/>
        </xdr:cNvPr>
        <xdr:cNvSpPr/>
      </xdr:nvSpPr>
      <xdr:spPr>
        <a:xfrm>
          <a:off x="428625" y="1343025"/>
          <a:ext cx="2667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</xdr:colOff>
      <xdr:row>48</xdr:row>
      <xdr:rowOff>0</xdr:rowOff>
    </xdr:from>
    <xdr:to>
      <xdr:col>3</xdr:col>
      <xdr:colOff>695325</xdr:colOff>
      <xdr:row>48</xdr:row>
      <xdr:rowOff>0</xdr:rowOff>
    </xdr:to>
    <xdr:pic>
      <xdr:nvPicPr>
        <xdr:cNvPr id="52" name="Picture 69" descr="http://www.omax.ru/images/fixture/screw7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rcRect/>
        <a:stretch>
          <a:fillRect/>
        </a:stretch>
      </xdr:blipFill>
      <xdr:spPr bwMode="auto">
        <a:xfrm>
          <a:off x="9953625" y="43672125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704850</xdr:colOff>
      <xdr:row>45</xdr:row>
      <xdr:rowOff>266700</xdr:rowOff>
    </xdr:from>
    <xdr:to>
      <xdr:col>16</xdr:col>
      <xdr:colOff>1152525</xdr:colOff>
      <xdr:row>52</xdr:row>
      <xdr:rowOff>533400</xdr:rowOff>
    </xdr:to>
    <xdr:pic>
      <xdr:nvPicPr>
        <xdr:cNvPr id="53" name="Picture 6454" descr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384125" y="42233850"/>
          <a:ext cx="16440150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45</xdr:row>
      <xdr:rowOff>209550</xdr:rowOff>
    </xdr:from>
    <xdr:to>
      <xdr:col>9</xdr:col>
      <xdr:colOff>1752600</xdr:colOff>
      <xdr:row>53</xdr:row>
      <xdr:rowOff>19049</xdr:rowOff>
    </xdr:to>
    <xdr:pic>
      <xdr:nvPicPr>
        <xdr:cNvPr id="54" name="Picture 6456" descr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0" y="42176700"/>
          <a:ext cx="21745575" cy="432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25</xdr:row>
      <xdr:rowOff>123825</xdr:rowOff>
    </xdr:from>
    <xdr:to>
      <xdr:col>1</xdr:col>
      <xdr:colOff>1790700</xdr:colOff>
      <xdr:row>25</xdr:row>
      <xdr:rowOff>1123950</xdr:rowOff>
    </xdr:to>
    <xdr:pic>
      <xdr:nvPicPr>
        <xdr:cNvPr id="55" name="Рисунок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50" y="24936450"/>
          <a:ext cx="12192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481012</xdr:colOff>
      <xdr:row>26</xdr:row>
      <xdr:rowOff>100013</xdr:rowOff>
    </xdr:from>
    <xdr:to>
      <xdr:col>1</xdr:col>
      <xdr:colOff>1690687</xdr:colOff>
      <xdr:row>26</xdr:row>
      <xdr:rowOff>1109663</xdr:rowOff>
    </xdr:to>
    <xdr:pic>
      <xdr:nvPicPr>
        <xdr:cNvPr id="56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9762" y="26103263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409575</xdr:colOff>
      <xdr:row>11</xdr:row>
      <xdr:rowOff>809625</xdr:rowOff>
    </xdr:from>
    <xdr:to>
      <xdr:col>13</xdr:col>
      <xdr:colOff>2495550</xdr:colOff>
      <xdr:row>12</xdr:row>
      <xdr:rowOff>579438</xdr:rowOff>
    </xdr:to>
    <xdr:pic>
      <xdr:nvPicPr>
        <xdr:cNvPr id="57" name="Picture 23" descr="J-профиль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42263" y="11668125"/>
          <a:ext cx="2085975" cy="746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676275</xdr:colOff>
      <xdr:row>26</xdr:row>
      <xdr:rowOff>285750</xdr:rowOff>
    </xdr:from>
    <xdr:to>
      <xdr:col>13</xdr:col>
      <xdr:colOff>2171700</xdr:colOff>
      <xdr:row>27</xdr:row>
      <xdr:rowOff>1012824</xdr:rowOff>
    </xdr:to>
    <xdr:pic>
      <xdr:nvPicPr>
        <xdr:cNvPr id="58" name="Picture 24" descr="J-профиль (наличник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608963" y="26289000"/>
          <a:ext cx="1495425" cy="1846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538163</xdr:colOff>
      <xdr:row>24</xdr:row>
      <xdr:rowOff>228600</xdr:rowOff>
    </xdr:from>
    <xdr:to>
      <xdr:col>13</xdr:col>
      <xdr:colOff>2290763</xdr:colOff>
      <xdr:row>25</xdr:row>
      <xdr:rowOff>1044575</xdr:rowOff>
    </xdr:to>
    <xdr:pic>
      <xdr:nvPicPr>
        <xdr:cNvPr id="59" name="Picture 25" descr="J-фаска (ветровая доск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470851" y="23898225"/>
          <a:ext cx="1752600" cy="195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766762</xdr:colOff>
      <xdr:row>17</xdr:row>
      <xdr:rowOff>495300</xdr:rowOff>
    </xdr:from>
    <xdr:to>
      <xdr:col>13</xdr:col>
      <xdr:colOff>2328862</xdr:colOff>
      <xdr:row>18</xdr:row>
      <xdr:rowOff>752475</xdr:rowOff>
    </xdr:to>
    <xdr:pic>
      <xdr:nvPicPr>
        <xdr:cNvPr id="60" name="Picture 26" descr="Внешний угол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699450" y="17592675"/>
          <a:ext cx="15621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766763</xdr:colOff>
      <xdr:row>19</xdr:row>
      <xdr:rowOff>161925</xdr:rowOff>
    </xdr:from>
    <xdr:to>
      <xdr:col>13</xdr:col>
      <xdr:colOff>2319338</xdr:colOff>
      <xdr:row>20</xdr:row>
      <xdr:rowOff>790575</xdr:rowOff>
    </xdr:to>
    <xdr:pic>
      <xdr:nvPicPr>
        <xdr:cNvPr id="61" name="Picture 27" descr="Внутренний угол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699451" y="19354800"/>
          <a:ext cx="15525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10</xdr:row>
      <xdr:rowOff>290512</xdr:rowOff>
    </xdr:from>
    <xdr:to>
      <xdr:col>13</xdr:col>
      <xdr:colOff>2476500</xdr:colOff>
      <xdr:row>10</xdr:row>
      <xdr:rowOff>2233612</xdr:rowOff>
    </xdr:to>
    <xdr:pic>
      <xdr:nvPicPr>
        <xdr:cNvPr id="62" name="Picture 28" descr="Н-профиль соединит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475613" y="8863012"/>
          <a:ext cx="19335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161925</xdr:colOff>
      <xdr:row>29</xdr:row>
      <xdr:rowOff>523875</xdr:rowOff>
    </xdr:from>
    <xdr:to>
      <xdr:col>13</xdr:col>
      <xdr:colOff>2733675</xdr:colOff>
      <xdr:row>30</xdr:row>
      <xdr:rowOff>628651</xdr:rowOff>
    </xdr:to>
    <xdr:pic>
      <xdr:nvPicPr>
        <xdr:cNvPr id="63" name="Picture 29" descr="Околооконная  планка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08900" y="28698825"/>
          <a:ext cx="25717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581025</xdr:colOff>
      <xdr:row>13</xdr:row>
      <xdr:rowOff>295275</xdr:rowOff>
    </xdr:from>
    <xdr:to>
      <xdr:col>13</xdr:col>
      <xdr:colOff>2209800</xdr:colOff>
      <xdr:row>14</xdr:row>
      <xdr:rowOff>1035051</xdr:rowOff>
    </xdr:to>
    <xdr:pic>
      <xdr:nvPicPr>
        <xdr:cNvPr id="64" name="Picture 30" descr="Планка финиш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513713" y="13154025"/>
          <a:ext cx="1628775" cy="1644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785812</xdr:colOff>
      <xdr:row>15</xdr:row>
      <xdr:rowOff>176213</xdr:rowOff>
    </xdr:from>
    <xdr:to>
      <xdr:col>13</xdr:col>
      <xdr:colOff>2281237</xdr:colOff>
      <xdr:row>16</xdr:row>
      <xdr:rowOff>661988</xdr:rowOff>
    </xdr:to>
    <xdr:pic>
      <xdr:nvPicPr>
        <xdr:cNvPr id="65" name="Picture 31" descr="Стартовая планк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3718500" y="15368588"/>
          <a:ext cx="14954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10</xdr:row>
      <xdr:rowOff>1143000</xdr:rowOff>
    </xdr:from>
    <xdr:to>
      <xdr:col>1</xdr:col>
      <xdr:colOff>2105025</xdr:colOff>
      <xdr:row>12</xdr:row>
      <xdr:rowOff>182563</xdr:rowOff>
    </xdr:to>
    <xdr:pic>
      <xdr:nvPicPr>
        <xdr:cNvPr id="66" name="Picture 33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24500" y="9715500"/>
          <a:ext cx="1819275" cy="2301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357187</xdr:colOff>
      <xdr:row>14</xdr:row>
      <xdr:rowOff>100012</xdr:rowOff>
    </xdr:from>
    <xdr:to>
      <xdr:col>1</xdr:col>
      <xdr:colOff>2233612</xdr:colOff>
      <xdr:row>16</xdr:row>
      <xdr:rowOff>106363</xdr:rowOff>
    </xdr:to>
    <xdr:pic>
      <xdr:nvPicPr>
        <xdr:cNvPr id="67" name="Picture 34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95937" y="13863637"/>
          <a:ext cx="1876425" cy="2482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195262</xdr:colOff>
      <xdr:row>17</xdr:row>
      <xdr:rowOff>881063</xdr:rowOff>
    </xdr:from>
    <xdr:to>
      <xdr:col>1</xdr:col>
      <xdr:colOff>2281237</xdr:colOff>
      <xdr:row>19</xdr:row>
      <xdr:rowOff>576263</xdr:rowOff>
    </xdr:to>
    <xdr:pic>
      <xdr:nvPicPr>
        <xdr:cNvPr id="68" name="Picture 35" descr="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34012" y="17978438"/>
          <a:ext cx="20859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352425</xdr:colOff>
      <xdr:row>32</xdr:row>
      <xdr:rowOff>300037</xdr:rowOff>
    </xdr:from>
    <xdr:to>
      <xdr:col>13</xdr:col>
      <xdr:colOff>2667000</xdr:colOff>
      <xdr:row>32</xdr:row>
      <xdr:rowOff>1785937</xdr:rowOff>
    </xdr:to>
    <xdr:pic>
      <xdr:nvPicPr>
        <xdr:cNvPr id="69" name="Picture 24" descr="молдинг мал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285113" y="33089850"/>
          <a:ext cx="23145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547687</xdr:colOff>
      <xdr:row>27</xdr:row>
      <xdr:rowOff>47624</xdr:rowOff>
    </xdr:from>
    <xdr:to>
      <xdr:col>1</xdr:col>
      <xdr:colOff>1785937</xdr:colOff>
      <xdr:row>27</xdr:row>
      <xdr:rowOff>1038224</xdr:rowOff>
    </xdr:to>
    <xdr:pic>
      <xdr:nvPicPr>
        <xdr:cNvPr id="70" name="Рисунок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86437" y="27170062"/>
          <a:ext cx="1238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528638</xdr:colOff>
      <xdr:row>28</xdr:row>
      <xdr:rowOff>104775</xdr:rowOff>
    </xdr:from>
    <xdr:to>
      <xdr:col>1</xdr:col>
      <xdr:colOff>1747838</xdr:colOff>
      <xdr:row>28</xdr:row>
      <xdr:rowOff>1131887</xdr:rowOff>
    </xdr:to>
    <xdr:pic>
      <xdr:nvPicPr>
        <xdr:cNvPr id="71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67388" y="28394025"/>
          <a:ext cx="1219200" cy="1027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20</xdr:row>
      <xdr:rowOff>742950</xdr:rowOff>
    </xdr:from>
    <xdr:to>
      <xdr:col>1</xdr:col>
      <xdr:colOff>2305050</xdr:colOff>
      <xdr:row>22</xdr:row>
      <xdr:rowOff>742950</xdr:rowOff>
    </xdr:to>
    <xdr:pic>
      <xdr:nvPicPr>
        <xdr:cNvPr id="72" name="Рисунок 26" descr="вертикальный сайдинг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10200" y="21078825"/>
          <a:ext cx="21336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685800</xdr:colOff>
      <xdr:row>21</xdr:row>
      <xdr:rowOff>261938</xdr:rowOff>
    </xdr:from>
    <xdr:to>
      <xdr:col>13</xdr:col>
      <xdr:colOff>2590800</xdr:colOff>
      <xdr:row>22</xdr:row>
      <xdr:rowOff>928688</xdr:rowOff>
    </xdr:to>
    <xdr:pic>
      <xdr:nvPicPr>
        <xdr:cNvPr id="73" name="Рисунок 27" descr="окантовочная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3618488" y="21550313"/>
          <a:ext cx="19050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29</xdr:row>
      <xdr:rowOff>314325</xdr:rowOff>
    </xdr:from>
    <xdr:to>
      <xdr:col>1</xdr:col>
      <xdr:colOff>2286000</xdr:colOff>
      <xdr:row>30</xdr:row>
      <xdr:rowOff>866776</xdr:rowOff>
    </xdr:to>
    <xdr:pic>
      <xdr:nvPicPr>
        <xdr:cNvPr id="74" name="Рисунок 28" descr="r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267325" y="29818013"/>
          <a:ext cx="2257425" cy="1671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317500</xdr:rowOff>
    </xdr:from>
    <xdr:to>
      <xdr:col>4</xdr:col>
      <xdr:colOff>1064530</xdr:colOff>
      <xdr:row>2</xdr:row>
      <xdr:rowOff>31750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0"/>
          <a:ext cx="12907280" cy="3619500"/>
        </a:xfrm>
        <a:prstGeom prst="rect">
          <a:avLst/>
        </a:prstGeom>
      </xdr:spPr>
    </xdr:pic>
    <xdr:clientData/>
  </xdr:twoCellAnchor>
  <xdr:twoCellAnchor editAs="oneCell">
    <xdr:from>
      <xdr:col>16</xdr:col>
      <xdr:colOff>1207635</xdr:colOff>
      <xdr:row>0</xdr:row>
      <xdr:rowOff>285750</xdr:rowOff>
    </xdr:from>
    <xdr:to>
      <xdr:col>20</xdr:col>
      <xdr:colOff>285750</xdr:colOff>
      <xdr:row>0</xdr:row>
      <xdr:rowOff>3365500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42885" y="285750"/>
          <a:ext cx="10889115" cy="307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4222750</xdr:colOff>
      <xdr:row>5</xdr:row>
      <xdr:rowOff>0</xdr:rowOff>
    </xdr:from>
    <xdr:to>
      <xdr:col>0</xdr:col>
      <xdr:colOff>5143500</xdr:colOff>
      <xdr:row>6</xdr:row>
      <xdr:rowOff>95250</xdr:rowOff>
    </xdr:to>
    <xdr:sp macro="" textlink="">
      <xdr:nvSpPr>
        <xdr:cNvPr id="28" name="Стрелка вправо 27">
          <a:hlinkClick xmlns:r="http://schemas.openxmlformats.org/officeDocument/2006/relationships" r:id="rId25"/>
        </xdr:cNvPr>
        <xdr:cNvSpPr/>
      </xdr:nvSpPr>
      <xdr:spPr>
        <a:xfrm>
          <a:off x="4222750" y="5080000"/>
          <a:ext cx="920750" cy="8572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13</xdr:col>
      <xdr:colOff>127001</xdr:colOff>
      <xdr:row>33</xdr:row>
      <xdr:rowOff>222250</xdr:rowOff>
    </xdr:from>
    <xdr:to>
      <xdr:col>13</xdr:col>
      <xdr:colOff>2754138</xdr:colOff>
      <xdr:row>33</xdr:row>
      <xdr:rowOff>1758950</xdr:rowOff>
    </xdr:to>
    <xdr:pic>
      <xdr:nvPicPr>
        <xdr:cNvPr id="30" name="Рисунок 29" descr="sliv_pl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873826" y="32435800"/>
          <a:ext cx="2627137" cy="1536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1114817</xdr:colOff>
      <xdr:row>4</xdr:row>
      <xdr:rowOff>476249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29792" cy="150812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0</xdr:row>
      <xdr:rowOff>0</xdr:rowOff>
    </xdr:from>
    <xdr:to>
      <xdr:col>15</xdr:col>
      <xdr:colOff>1727200</xdr:colOff>
      <xdr:row>5</xdr:row>
      <xdr:rowOff>304252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2400" y="0"/>
          <a:ext cx="6642100" cy="1885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3308349</xdr:colOff>
      <xdr:row>6</xdr:row>
      <xdr:rowOff>31750</xdr:rowOff>
    </xdr:from>
    <xdr:to>
      <xdr:col>0</xdr:col>
      <xdr:colOff>3809999</xdr:colOff>
      <xdr:row>7</xdr:row>
      <xdr:rowOff>31750</xdr:rowOff>
    </xdr:to>
    <xdr:sp macro="" textlink="">
      <xdr:nvSpPr>
        <xdr:cNvPr id="27" name="Стрелка вправо 26">
          <a:hlinkClick xmlns:r="http://schemas.openxmlformats.org/officeDocument/2006/relationships" r:id="rId3"/>
        </xdr:cNvPr>
        <xdr:cNvSpPr/>
      </xdr:nvSpPr>
      <xdr:spPr>
        <a:xfrm>
          <a:off x="3308349" y="2000250"/>
          <a:ext cx="501650" cy="3968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6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4:N69"/>
  <sheetViews>
    <sheetView tabSelected="1" workbookViewId="0">
      <selection activeCell="O6" sqref="O6"/>
    </sheetView>
  </sheetViews>
  <sheetFormatPr defaultRowHeight="15" x14ac:dyDescent="0.25"/>
  <cols>
    <col min="2" max="2" width="31.28515625" customWidth="1"/>
  </cols>
  <sheetData>
    <row r="4" spans="1:12" ht="50.25" customHeight="1" x14ac:dyDescent="0.25">
      <c r="E4" s="458" t="s">
        <v>56</v>
      </c>
      <c r="F4" s="458"/>
      <c r="G4" s="458"/>
      <c r="H4" s="458"/>
    </row>
    <row r="5" spans="1:12" ht="18.75" x14ac:dyDescent="0.3">
      <c r="B5" s="25" t="s">
        <v>59</v>
      </c>
      <c r="G5" s="15"/>
    </row>
    <row r="6" spans="1:12" ht="18.75" x14ac:dyDescent="0.3">
      <c r="B6" s="25" t="s">
        <v>60</v>
      </c>
      <c r="D6" s="27"/>
      <c r="G6" s="15"/>
    </row>
    <row r="7" spans="1:12" ht="18.75" x14ac:dyDescent="0.3">
      <c r="B7" s="28" t="s">
        <v>57</v>
      </c>
      <c r="G7" s="15"/>
    </row>
    <row r="8" spans="1:12" ht="18.75" x14ac:dyDescent="0.3">
      <c r="B8" s="25" t="s">
        <v>61</v>
      </c>
      <c r="G8" s="15"/>
    </row>
    <row r="9" spans="1:12" ht="19.5" thickBot="1" x14ac:dyDescent="0.35">
      <c r="G9" s="15"/>
      <c r="I9" s="15" t="s">
        <v>1156</v>
      </c>
    </row>
    <row r="10" spans="1:12" x14ac:dyDescent="0.25">
      <c r="A10" s="384"/>
      <c r="B10" s="385"/>
      <c r="C10" s="385"/>
      <c r="D10" s="385"/>
      <c r="E10" s="385"/>
      <c r="F10" s="385"/>
      <c r="G10" s="385"/>
      <c r="H10" s="385"/>
      <c r="I10" s="385"/>
      <c r="J10" s="385"/>
      <c r="K10" s="385"/>
      <c r="L10" s="386">
        <v>1</v>
      </c>
    </row>
    <row r="11" spans="1:12" x14ac:dyDescent="0.25">
      <c r="A11" s="387"/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9"/>
    </row>
    <row r="12" spans="1:12" ht="15.75" x14ac:dyDescent="0.25">
      <c r="A12" s="387"/>
      <c r="B12" s="388"/>
      <c r="C12" s="388"/>
      <c r="D12" s="457" t="s">
        <v>64</v>
      </c>
      <c r="E12" s="457"/>
      <c r="F12" s="457"/>
      <c r="G12" s="388"/>
      <c r="H12" s="388"/>
      <c r="I12" s="388"/>
      <c r="J12" s="388"/>
      <c r="K12" s="388"/>
      <c r="L12" s="389"/>
    </row>
    <row r="13" spans="1:12" x14ac:dyDescent="0.25">
      <c r="A13" s="387"/>
      <c r="B13" s="388"/>
      <c r="C13" s="388"/>
      <c r="D13" s="388"/>
      <c r="E13" s="388"/>
      <c r="F13" s="388"/>
      <c r="G13" s="388"/>
      <c r="H13" s="388"/>
      <c r="I13" s="388"/>
      <c r="J13" s="388"/>
      <c r="K13" s="388"/>
      <c r="L13" s="389"/>
    </row>
    <row r="14" spans="1:12" ht="15.75" thickBot="1" x14ac:dyDescent="0.3">
      <c r="A14" s="390"/>
      <c r="B14" s="391"/>
      <c r="C14" s="391"/>
      <c r="D14" s="391"/>
      <c r="E14" s="391"/>
      <c r="F14" s="391"/>
      <c r="G14" s="391"/>
      <c r="H14" s="391"/>
      <c r="I14" s="391"/>
      <c r="J14" s="391"/>
      <c r="K14" s="391"/>
      <c r="L14" s="392"/>
    </row>
    <row r="15" spans="1:12" x14ac:dyDescent="0.25">
      <c r="A15" s="384"/>
      <c r="B15" s="385"/>
      <c r="C15" s="385"/>
      <c r="D15" s="385"/>
      <c r="E15" s="385"/>
      <c r="F15" s="385"/>
      <c r="G15" s="385"/>
      <c r="H15" s="385"/>
      <c r="I15" s="385"/>
      <c r="J15" s="385"/>
      <c r="K15" s="385"/>
      <c r="L15" s="386">
        <v>2</v>
      </c>
    </row>
    <row r="16" spans="1:12" x14ac:dyDescent="0.25">
      <c r="A16" s="387"/>
      <c r="B16" s="388"/>
      <c r="C16" s="388"/>
      <c r="D16" s="388"/>
      <c r="E16" s="388"/>
      <c r="F16" s="388"/>
      <c r="G16" s="388"/>
      <c r="H16" s="388"/>
      <c r="I16" s="388"/>
      <c r="J16" s="388"/>
      <c r="K16" s="388"/>
      <c r="L16" s="389"/>
    </row>
    <row r="17" spans="1:12" ht="15.75" x14ac:dyDescent="0.25">
      <c r="A17" s="387"/>
      <c r="B17" s="388"/>
      <c r="C17" s="388"/>
      <c r="D17" s="393" t="s">
        <v>39</v>
      </c>
      <c r="E17" s="393"/>
      <c r="F17" s="393"/>
      <c r="G17" s="394"/>
      <c r="H17" s="394"/>
      <c r="I17" s="388"/>
      <c r="J17" s="388"/>
      <c r="K17" s="388"/>
      <c r="L17" s="389"/>
    </row>
    <row r="18" spans="1:12" x14ac:dyDescent="0.25">
      <c r="A18" s="387"/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9"/>
    </row>
    <row r="19" spans="1:12" ht="15.75" thickBot="1" x14ac:dyDescent="0.3">
      <c r="A19" s="390"/>
      <c r="B19" s="391"/>
      <c r="C19" s="391"/>
      <c r="D19" s="391"/>
      <c r="E19" s="391"/>
      <c r="F19" s="391"/>
      <c r="G19" s="391"/>
      <c r="H19" s="391"/>
      <c r="I19" s="391"/>
      <c r="J19" s="391"/>
      <c r="K19" s="391"/>
      <c r="L19" s="392"/>
    </row>
    <row r="20" spans="1:12" x14ac:dyDescent="0.25">
      <c r="A20" s="384"/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6">
        <v>3</v>
      </c>
    </row>
    <row r="21" spans="1:12" x14ac:dyDescent="0.25">
      <c r="A21" s="387"/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9"/>
    </row>
    <row r="22" spans="1:12" ht="15.75" x14ac:dyDescent="0.25">
      <c r="A22" s="387"/>
      <c r="B22" s="388"/>
      <c r="C22" s="388"/>
      <c r="D22" s="456" t="s">
        <v>48</v>
      </c>
      <c r="E22" s="456"/>
      <c r="F22" s="456"/>
      <c r="G22" s="388"/>
      <c r="H22" s="388"/>
      <c r="I22" s="388"/>
      <c r="J22" s="388"/>
      <c r="K22" s="388"/>
      <c r="L22" s="389"/>
    </row>
    <row r="23" spans="1:12" x14ac:dyDescent="0.25">
      <c r="A23" s="387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L23" s="389"/>
    </row>
    <row r="24" spans="1:12" ht="15.75" thickBot="1" x14ac:dyDescent="0.3">
      <c r="A24" s="390"/>
      <c r="B24" s="391"/>
      <c r="C24" s="391"/>
      <c r="D24" s="391"/>
      <c r="E24" s="391"/>
      <c r="F24" s="391"/>
      <c r="G24" s="391"/>
      <c r="H24" s="391"/>
      <c r="I24" s="391"/>
      <c r="J24" s="391"/>
      <c r="K24" s="391"/>
      <c r="L24" s="392"/>
    </row>
    <row r="25" spans="1:12" x14ac:dyDescent="0.25">
      <c r="A25" s="384"/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6">
        <v>4</v>
      </c>
    </row>
    <row r="26" spans="1:12" x14ac:dyDescent="0.25">
      <c r="A26" s="387"/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9"/>
    </row>
    <row r="27" spans="1:12" x14ac:dyDescent="0.25">
      <c r="A27" s="387"/>
      <c r="B27" s="388"/>
      <c r="C27" s="388"/>
      <c r="D27" s="416" t="s">
        <v>1155</v>
      </c>
      <c r="E27" s="416"/>
      <c r="F27" s="416"/>
      <c r="G27" s="388"/>
      <c r="H27" s="388"/>
      <c r="I27" s="388"/>
      <c r="J27" s="388"/>
      <c r="K27" s="388"/>
      <c r="L27" s="389"/>
    </row>
    <row r="28" spans="1:12" x14ac:dyDescent="0.25">
      <c r="A28" s="387"/>
      <c r="B28" s="388"/>
      <c r="C28" s="388"/>
      <c r="D28" s="388"/>
      <c r="E28" s="388"/>
      <c r="F28" s="388"/>
      <c r="G28" s="388"/>
      <c r="H28" s="388"/>
      <c r="I28" s="388"/>
      <c r="J28" s="388"/>
      <c r="K28" s="388"/>
      <c r="L28" s="389"/>
    </row>
    <row r="29" spans="1:12" ht="15.75" thickBot="1" x14ac:dyDescent="0.3">
      <c r="A29" s="390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2"/>
    </row>
    <row r="30" spans="1:12" x14ac:dyDescent="0.25">
      <c r="A30" s="384"/>
      <c r="B30" s="385"/>
      <c r="C30" s="385"/>
      <c r="D30" s="385"/>
      <c r="E30" s="385"/>
      <c r="F30" s="385"/>
      <c r="G30" s="385"/>
      <c r="H30" s="385"/>
      <c r="I30" s="385"/>
      <c r="J30" s="385"/>
      <c r="K30" s="385"/>
      <c r="L30" s="386">
        <v>5</v>
      </c>
    </row>
    <row r="31" spans="1:12" x14ac:dyDescent="0.25">
      <c r="A31" s="387"/>
      <c r="B31" s="388"/>
      <c r="C31" s="388"/>
      <c r="D31" s="388"/>
      <c r="E31" s="388"/>
      <c r="F31" s="388"/>
      <c r="G31" s="388"/>
      <c r="H31" s="388"/>
      <c r="I31" s="388"/>
      <c r="J31" s="388"/>
      <c r="K31" s="388"/>
      <c r="L31" s="389"/>
    </row>
    <row r="32" spans="1:12" ht="15.75" x14ac:dyDescent="0.25">
      <c r="A32" s="387"/>
      <c r="B32" s="388"/>
      <c r="C32" s="388"/>
      <c r="D32" s="393" t="s">
        <v>118</v>
      </c>
      <c r="E32" s="388"/>
      <c r="F32" s="388"/>
      <c r="G32" s="388"/>
      <c r="H32" s="388"/>
      <c r="I32" s="388"/>
      <c r="J32" s="388"/>
      <c r="K32" s="388"/>
      <c r="L32" s="389"/>
    </row>
    <row r="33" spans="1:12" x14ac:dyDescent="0.25">
      <c r="A33" s="387"/>
      <c r="B33" s="388"/>
      <c r="C33" s="388"/>
      <c r="D33" s="388"/>
      <c r="E33" s="388"/>
      <c r="F33" s="388"/>
      <c r="G33" s="388"/>
      <c r="H33" s="388"/>
      <c r="I33" s="388"/>
      <c r="J33" s="388"/>
      <c r="K33" s="388"/>
      <c r="L33" s="389"/>
    </row>
    <row r="34" spans="1:12" ht="15.75" thickBot="1" x14ac:dyDescent="0.3">
      <c r="A34" s="390"/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2"/>
    </row>
    <row r="35" spans="1:12" x14ac:dyDescent="0.25">
      <c r="A35" s="384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386">
        <v>6</v>
      </c>
    </row>
    <row r="36" spans="1:12" x14ac:dyDescent="0.25">
      <c r="A36" s="387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9"/>
    </row>
    <row r="37" spans="1:12" ht="15.75" x14ac:dyDescent="0.25">
      <c r="A37" s="387"/>
      <c r="B37" s="388"/>
      <c r="C37" s="388"/>
      <c r="D37" s="393" t="s">
        <v>117</v>
      </c>
      <c r="E37" s="388"/>
      <c r="F37" s="388"/>
      <c r="G37" s="388"/>
      <c r="H37" s="388"/>
      <c r="I37" s="388"/>
      <c r="J37" s="388"/>
      <c r="K37" s="388"/>
      <c r="L37" s="389"/>
    </row>
    <row r="38" spans="1:12" x14ac:dyDescent="0.25">
      <c r="A38" s="387"/>
      <c r="B38" s="388"/>
      <c r="C38" s="388"/>
      <c r="D38" s="388"/>
      <c r="E38" s="388"/>
      <c r="F38" s="388"/>
      <c r="G38" s="388"/>
      <c r="H38" s="388"/>
      <c r="I38" s="388"/>
      <c r="J38" s="388"/>
      <c r="K38" s="388"/>
      <c r="L38" s="389"/>
    </row>
    <row r="39" spans="1:12" ht="15.75" thickBot="1" x14ac:dyDescent="0.3">
      <c r="A39" s="390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2"/>
    </row>
    <row r="40" spans="1:12" x14ac:dyDescent="0.25">
      <c r="A40" s="384"/>
      <c r="B40" s="385"/>
      <c r="C40" s="385"/>
      <c r="D40" s="385"/>
      <c r="E40" s="385"/>
      <c r="F40" s="385"/>
      <c r="G40" s="385"/>
      <c r="H40" s="385"/>
      <c r="I40" s="385"/>
      <c r="J40" s="385"/>
      <c r="K40" s="385"/>
      <c r="L40" s="386">
        <v>7</v>
      </c>
    </row>
    <row r="41" spans="1:12" x14ac:dyDescent="0.25">
      <c r="A41" s="387"/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9"/>
    </row>
    <row r="42" spans="1:12" ht="15.75" x14ac:dyDescent="0.25">
      <c r="A42" s="387"/>
      <c r="B42" s="388"/>
      <c r="C42" s="388"/>
      <c r="D42" s="395" t="s">
        <v>58</v>
      </c>
      <c r="E42" s="388"/>
      <c r="F42" s="388"/>
      <c r="G42" s="388"/>
      <c r="H42" s="388"/>
      <c r="I42" s="388"/>
      <c r="J42" s="388"/>
      <c r="K42" s="388"/>
      <c r="L42" s="389"/>
    </row>
    <row r="43" spans="1:12" x14ac:dyDescent="0.25">
      <c r="A43" s="387"/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9"/>
    </row>
    <row r="44" spans="1:12" ht="15.75" thickBot="1" x14ac:dyDescent="0.3">
      <c r="A44" s="390"/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2"/>
    </row>
    <row r="45" spans="1:12" x14ac:dyDescent="0.25">
      <c r="A45" s="384"/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6">
        <v>8</v>
      </c>
    </row>
    <row r="46" spans="1:12" x14ac:dyDescent="0.25">
      <c r="A46" s="387"/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9"/>
    </row>
    <row r="47" spans="1:12" ht="15.75" x14ac:dyDescent="0.25">
      <c r="A47" s="387"/>
      <c r="B47" s="388"/>
      <c r="C47" s="388"/>
      <c r="D47" s="396" t="s">
        <v>62</v>
      </c>
      <c r="E47" s="397"/>
      <c r="F47" s="397"/>
      <c r="G47" s="388"/>
      <c r="H47" s="388"/>
      <c r="I47" s="388"/>
      <c r="J47" s="388"/>
      <c r="K47" s="388"/>
      <c r="L47" s="389"/>
    </row>
    <row r="48" spans="1:12" x14ac:dyDescent="0.25">
      <c r="A48" s="387"/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9"/>
    </row>
    <row r="49" spans="1:14" ht="15.75" thickBot="1" x14ac:dyDescent="0.3">
      <c r="A49" s="390"/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2"/>
    </row>
    <row r="50" spans="1:14" x14ac:dyDescent="0.25">
      <c r="A50" s="384"/>
      <c r="B50" s="385"/>
      <c r="C50" s="385"/>
      <c r="D50" s="385"/>
      <c r="E50" s="385"/>
      <c r="F50" s="385"/>
      <c r="G50" s="385"/>
      <c r="H50" s="385"/>
      <c r="I50" s="385"/>
      <c r="J50" s="385"/>
      <c r="K50" s="385"/>
      <c r="L50" s="386">
        <v>9</v>
      </c>
    </row>
    <row r="51" spans="1:14" x14ac:dyDescent="0.25">
      <c r="A51" s="387"/>
      <c r="B51" s="388"/>
      <c r="C51" s="388"/>
      <c r="D51" s="388"/>
      <c r="E51" s="388"/>
      <c r="F51" s="388"/>
      <c r="G51" s="388"/>
      <c r="H51" s="388"/>
      <c r="I51" s="388"/>
      <c r="J51" s="388"/>
      <c r="K51" s="388"/>
      <c r="L51" s="389"/>
    </row>
    <row r="52" spans="1:14" ht="15.75" x14ac:dyDescent="0.25">
      <c r="A52" s="387"/>
      <c r="B52" s="388"/>
      <c r="C52" s="388"/>
      <c r="D52" s="395" t="s">
        <v>115</v>
      </c>
      <c r="E52" s="388"/>
      <c r="F52" s="388"/>
      <c r="G52" s="388"/>
      <c r="H52" s="388"/>
      <c r="I52" s="388"/>
      <c r="J52" s="388"/>
      <c r="K52" s="388"/>
      <c r="L52" s="389"/>
    </row>
    <row r="53" spans="1:14" x14ac:dyDescent="0.25">
      <c r="A53" s="387"/>
      <c r="B53" s="388"/>
      <c r="C53" s="388"/>
      <c r="D53" s="388"/>
      <c r="E53" s="388"/>
      <c r="F53" s="388"/>
      <c r="G53" s="388"/>
      <c r="H53" s="388"/>
      <c r="I53" s="388"/>
      <c r="J53" s="388"/>
      <c r="K53" s="388"/>
      <c r="L53" s="389"/>
    </row>
    <row r="54" spans="1:14" ht="15.75" thickBot="1" x14ac:dyDescent="0.3">
      <c r="A54" s="390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2"/>
    </row>
    <row r="55" spans="1:14" x14ac:dyDescent="0.25">
      <c r="A55" s="384"/>
      <c r="B55" s="385"/>
      <c r="C55" s="385"/>
      <c r="D55" s="385"/>
      <c r="E55" s="385"/>
      <c r="F55" s="385"/>
      <c r="G55" s="385"/>
      <c r="H55" s="385"/>
      <c r="I55" s="385"/>
      <c r="J55" s="385"/>
      <c r="K55" s="385"/>
      <c r="L55" s="386">
        <v>10</v>
      </c>
      <c r="N55" s="29"/>
    </row>
    <row r="56" spans="1:14" x14ac:dyDescent="0.25">
      <c r="A56" s="387"/>
      <c r="B56" s="388"/>
      <c r="C56" s="388"/>
      <c r="D56" s="388"/>
      <c r="E56" s="388"/>
      <c r="F56" s="388"/>
      <c r="G56" s="388"/>
      <c r="H56" s="388"/>
      <c r="I56" s="388"/>
      <c r="J56" s="388"/>
      <c r="K56" s="388"/>
      <c r="L56" s="389"/>
    </row>
    <row r="57" spans="1:14" ht="15.75" x14ac:dyDescent="0.25">
      <c r="A57" s="387"/>
      <c r="B57" s="388"/>
      <c r="C57" s="388"/>
      <c r="D57" s="395" t="s">
        <v>116</v>
      </c>
      <c r="E57" s="388"/>
      <c r="F57" s="388"/>
      <c r="G57" s="388"/>
      <c r="H57" s="388"/>
      <c r="I57" s="388"/>
      <c r="J57" s="388"/>
      <c r="K57" s="388"/>
      <c r="L57" s="389"/>
    </row>
    <row r="58" spans="1:14" x14ac:dyDescent="0.25">
      <c r="A58" s="387"/>
      <c r="B58" s="388"/>
      <c r="C58" s="388"/>
      <c r="D58" s="388"/>
      <c r="E58" s="388"/>
      <c r="F58" s="388"/>
      <c r="G58" s="388"/>
      <c r="H58" s="388"/>
      <c r="I58" s="388"/>
      <c r="J58" s="388"/>
      <c r="K58" s="388"/>
      <c r="L58" s="389"/>
    </row>
    <row r="59" spans="1:14" ht="15.75" thickBot="1" x14ac:dyDescent="0.3">
      <c r="A59" s="390"/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2"/>
    </row>
    <row r="60" spans="1:14" x14ac:dyDescent="0.25">
      <c r="A60" s="384"/>
      <c r="B60" s="385"/>
      <c r="C60" s="385"/>
      <c r="D60" s="385"/>
      <c r="E60" s="385"/>
      <c r="F60" s="385"/>
      <c r="G60" s="385"/>
      <c r="H60" s="385"/>
      <c r="I60" s="385"/>
      <c r="J60" s="385"/>
      <c r="K60" s="385"/>
      <c r="L60" s="386">
        <v>11</v>
      </c>
    </row>
    <row r="61" spans="1:14" x14ac:dyDescent="0.25">
      <c r="A61" s="387"/>
      <c r="B61" s="388"/>
      <c r="C61" s="388"/>
      <c r="D61" s="388"/>
      <c r="E61" s="388"/>
      <c r="F61" s="388"/>
      <c r="G61" s="388"/>
      <c r="H61" s="388"/>
      <c r="I61" s="388"/>
      <c r="J61" s="388"/>
      <c r="K61" s="388"/>
      <c r="L61" s="389"/>
    </row>
    <row r="62" spans="1:14" ht="15.75" x14ac:dyDescent="0.25">
      <c r="A62" s="387"/>
      <c r="B62" s="388"/>
      <c r="C62" s="388"/>
      <c r="D62" s="395" t="s">
        <v>63</v>
      </c>
      <c r="E62" s="388"/>
      <c r="F62" s="388"/>
      <c r="G62" s="388"/>
      <c r="H62" s="388"/>
      <c r="I62" s="388"/>
      <c r="J62" s="388"/>
      <c r="K62" s="388"/>
      <c r="L62" s="389"/>
    </row>
    <row r="63" spans="1:14" x14ac:dyDescent="0.25">
      <c r="A63" s="387"/>
      <c r="B63" s="388"/>
      <c r="C63" s="388"/>
      <c r="D63" s="388"/>
      <c r="E63" s="388"/>
      <c r="F63" s="388"/>
      <c r="G63" s="388"/>
      <c r="H63" s="388"/>
      <c r="I63" s="388"/>
      <c r="J63" s="388"/>
      <c r="K63" s="388"/>
      <c r="L63" s="389"/>
    </row>
    <row r="64" spans="1:14" ht="15.75" thickBot="1" x14ac:dyDescent="0.3">
      <c r="A64" s="390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2"/>
    </row>
    <row r="65" spans="1:12" x14ac:dyDescent="0.25">
      <c r="A65" s="384"/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6">
        <v>12</v>
      </c>
    </row>
    <row r="66" spans="1:12" x14ac:dyDescent="0.25">
      <c r="A66" s="387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9"/>
    </row>
    <row r="67" spans="1:12" x14ac:dyDescent="0.25">
      <c r="A67" s="387"/>
      <c r="B67" s="388"/>
      <c r="C67" s="388"/>
      <c r="D67" s="416" t="s">
        <v>1046</v>
      </c>
      <c r="E67" s="416"/>
      <c r="F67" s="416"/>
      <c r="G67" s="416"/>
      <c r="H67" s="388"/>
      <c r="I67" s="388"/>
      <c r="J67" s="388"/>
      <c r="K67" s="388"/>
      <c r="L67" s="389"/>
    </row>
    <row r="68" spans="1:12" x14ac:dyDescent="0.25">
      <c r="A68" s="387"/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9"/>
    </row>
    <row r="69" spans="1:12" ht="15.75" thickBot="1" x14ac:dyDescent="0.3">
      <c r="A69" s="390"/>
      <c r="B69" s="391"/>
      <c r="C69" s="391"/>
      <c r="D69" s="391"/>
      <c r="E69" s="391"/>
      <c r="F69" s="391"/>
      <c r="G69" s="391"/>
      <c r="H69" s="391"/>
      <c r="I69" s="391"/>
      <c r="J69" s="391"/>
      <c r="K69" s="391"/>
      <c r="L69" s="392"/>
    </row>
  </sheetData>
  <mergeCells count="3">
    <mergeCell ref="D22:F22"/>
    <mergeCell ref="D12:F12"/>
    <mergeCell ref="E4:H4"/>
  </mergeCells>
  <hyperlinks>
    <hyperlink ref="D12" location="Ytong!A1" display="Газосиликатные блоки Ytong"/>
    <hyperlink ref="D17" location="'El-Block'!A1" display="Газобетонные блоки El-Block"/>
    <hyperlink ref="D22" location="ЭКО!R1C1" display="Газобетонные блоки ЭКО"/>
    <hyperlink ref="D37" location="Wienerberger!A1" display="Облицовочный киприч Wienerberger"/>
    <hyperlink ref="D42" location="'Виниловый сайдинг GL'!A1" display="Виниловый сайдинг Grand Line AMERIKA"/>
    <hyperlink ref="D47" location="'Метал. сайдинг GL'!A1" display="Металлический сайдинг Grand Line"/>
    <hyperlink ref="D52" location="'ШФ CERESIT'!A1" display="Штукатурные фасады CERESIT"/>
    <hyperlink ref="D57" location="'ШФ WEBER'!A1" display="Штукатурные фасады WEBER"/>
    <hyperlink ref="D62" location="'White Hills'!A1" display="Декоративный камень White Hills"/>
    <hyperlink ref="D32" location="BRAER!A1" display="Облицовочный кирпич и блоки BRAER"/>
    <hyperlink ref="D67:G67" location="PEREL!A1" display="Кладочные растворы, смеси и затирки "/>
    <hyperlink ref="D27:F27" location="ЕЗСМ!R1C1" display="Газобетонные блоки ЕЗСМ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H284"/>
  <sheetViews>
    <sheetView workbookViewId="0"/>
  </sheetViews>
  <sheetFormatPr defaultRowHeight="15" x14ac:dyDescent="0.25"/>
  <cols>
    <col min="1" max="1" width="11.140625" customWidth="1"/>
    <col min="2" max="2" width="73" customWidth="1"/>
    <col min="3" max="3" width="11.140625" customWidth="1"/>
    <col min="4" max="4" width="11.85546875" customWidth="1"/>
    <col min="5" max="5" width="17.7109375" style="127" customWidth="1"/>
    <col min="6" max="6" width="26.42578125" customWidth="1"/>
    <col min="7" max="7" width="12.28515625" customWidth="1"/>
    <col min="8" max="8" width="16.140625" style="130" customWidth="1"/>
    <col min="198" max="198" width="8.140625" customWidth="1"/>
    <col min="199" max="199" width="46.5703125" customWidth="1"/>
    <col min="200" max="200" width="6.5703125" customWidth="1"/>
    <col min="201" max="201" width="7.85546875" customWidth="1"/>
    <col min="202" max="206" width="8.5703125" customWidth="1"/>
    <col min="207" max="207" width="16.140625" customWidth="1"/>
    <col min="454" max="454" width="8.140625" customWidth="1"/>
    <col min="455" max="455" width="46.5703125" customWidth="1"/>
    <col min="456" max="456" width="6.5703125" customWidth="1"/>
    <col min="457" max="457" width="7.85546875" customWidth="1"/>
    <col min="458" max="462" width="8.5703125" customWidth="1"/>
    <col min="463" max="463" width="16.140625" customWidth="1"/>
    <col min="710" max="710" width="8.140625" customWidth="1"/>
    <col min="711" max="711" width="46.5703125" customWidth="1"/>
    <col min="712" max="712" width="6.5703125" customWidth="1"/>
    <col min="713" max="713" width="7.85546875" customWidth="1"/>
    <col min="714" max="718" width="8.5703125" customWidth="1"/>
    <col min="719" max="719" width="16.140625" customWidth="1"/>
    <col min="966" max="966" width="8.140625" customWidth="1"/>
    <col min="967" max="967" width="46.5703125" customWidth="1"/>
    <col min="968" max="968" width="6.5703125" customWidth="1"/>
    <col min="969" max="969" width="7.85546875" customWidth="1"/>
    <col min="970" max="974" width="8.5703125" customWidth="1"/>
    <col min="975" max="975" width="16.140625" customWidth="1"/>
    <col min="1222" max="1222" width="8.140625" customWidth="1"/>
    <col min="1223" max="1223" width="46.5703125" customWidth="1"/>
    <col min="1224" max="1224" width="6.5703125" customWidth="1"/>
    <col min="1225" max="1225" width="7.85546875" customWidth="1"/>
    <col min="1226" max="1230" width="8.5703125" customWidth="1"/>
    <col min="1231" max="1231" width="16.140625" customWidth="1"/>
    <col min="1478" max="1478" width="8.140625" customWidth="1"/>
    <col min="1479" max="1479" width="46.5703125" customWidth="1"/>
    <col min="1480" max="1480" width="6.5703125" customWidth="1"/>
    <col min="1481" max="1481" width="7.85546875" customWidth="1"/>
    <col min="1482" max="1486" width="8.5703125" customWidth="1"/>
    <col min="1487" max="1487" width="16.140625" customWidth="1"/>
    <col min="1734" max="1734" width="8.140625" customWidth="1"/>
    <col min="1735" max="1735" width="46.5703125" customWidth="1"/>
    <col min="1736" max="1736" width="6.5703125" customWidth="1"/>
    <col min="1737" max="1737" width="7.85546875" customWidth="1"/>
    <col min="1738" max="1742" width="8.5703125" customWidth="1"/>
    <col min="1743" max="1743" width="16.140625" customWidth="1"/>
    <col min="1990" max="1990" width="8.140625" customWidth="1"/>
    <col min="1991" max="1991" width="46.5703125" customWidth="1"/>
    <col min="1992" max="1992" width="6.5703125" customWidth="1"/>
    <col min="1993" max="1993" width="7.85546875" customWidth="1"/>
    <col min="1994" max="1998" width="8.5703125" customWidth="1"/>
    <col min="1999" max="1999" width="16.140625" customWidth="1"/>
    <col min="2246" max="2246" width="8.140625" customWidth="1"/>
    <col min="2247" max="2247" width="46.5703125" customWidth="1"/>
    <col min="2248" max="2248" width="6.5703125" customWidth="1"/>
    <col min="2249" max="2249" width="7.85546875" customWidth="1"/>
    <col min="2250" max="2254" width="8.5703125" customWidth="1"/>
    <col min="2255" max="2255" width="16.140625" customWidth="1"/>
    <col min="2502" max="2502" width="8.140625" customWidth="1"/>
    <col min="2503" max="2503" width="46.5703125" customWidth="1"/>
    <col min="2504" max="2504" width="6.5703125" customWidth="1"/>
    <col min="2505" max="2505" width="7.85546875" customWidth="1"/>
    <col min="2506" max="2510" width="8.5703125" customWidth="1"/>
    <col min="2511" max="2511" width="16.140625" customWidth="1"/>
    <col min="2758" max="2758" width="8.140625" customWidth="1"/>
    <col min="2759" max="2759" width="46.5703125" customWidth="1"/>
    <col min="2760" max="2760" width="6.5703125" customWidth="1"/>
    <col min="2761" max="2761" width="7.85546875" customWidth="1"/>
    <col min="2762" max="2766" width="8.5703125" customWidth="1"/>
    <col min="2767" max="2767" width="16.140625" customWidth="1"/>
    <col min="3014" max="3014" width="8.140625" customWidth="1"/>
    <col min="3015" max="3015" width="46.5703125" customWidth="1"/>
    <col min="3016" max="3016" width="6.5703125" customWidth="1"/>
    <col min="3017" max="3017" width="7.85546875" customWidth="1"/>
    <col min="3018" max="3022" width="8.5703125" customWidth="1"/>
    <col min="3023" max="3023" width="16.140625" customWidth="1"/>
    <col min="3270" max="3270" width="8.140625" customWidth="1"/>
    <col min="3271" max="3271" width="46.5703125" customWidth="1"/>
    <col min="3272" max="3272" width="6.5703125" customWidth="1"/>
    <col min="3273" max="3273" width="7.85546875" customWidth="1"/>
    <col min="3274" max="3278" width="8.5703125" customWidth="1"/>
    <col min="3279" max="3279" width="16.140625" customWidth="1"/>
    <col min="3526" max="3526" width="8.140625" customWidth="1"/>
    <col min="3527" max="3527" width="46.5703125" customWidth="1"/>
    <col min="3528" max="3528" width="6.5703125" customWidth="1"/>
    <col min="3529" max="3529" width="7.85546875" customWidth="1"/>
    <col min="3530" max="3534" width="8.5703125" customWidth="1"/>
    <col min="3535" max="3535" width="16.140625" customWidth="1"/>
    <col min="3782" max="3782" width="8.140625" customWidth="1"/>
    <col min="3783" max="3783" width="46.5703125" customWidth="1"/>
    <col min="3784" max="3784" width="6.5703125" customWidth="1"/>
    <col min="3785" max="3785" width="7.85546875" customWidth="1"/>
    <col min="3786" max="3790" width="8.5703125" customWidth="1"/>
    <col min="3791" max="3791" width="16.140625" customWidth="1"/>
    <col min="4038" max="4038" width="8.140625" customWidth="1"/>
    <col min="4039" max="4039" width="46.5703125" customWidth="1"/>
    <col min="4040" max="4040" width="6.5703125" customWidth="1"/>
    <col min="4041" max="4041" width="7.85546875" customWidth="1"/>
    <col min="4042" max="4046" width="8.5703125" customWidth="1"/>
    <col min="4047" max="4047" width="16.140625" customWidth="1"/>
    <col min="4294" max="4294" width="8.140625" customWidth="1"/>
    <col min="4295" max="4295" width="46.5703125" customWidth="1"/>
    <col min="4296" max="4296" width="6.5703125" customWidth="1"/>
    <col min="4297" max="4297" width="7.85546875" customWidth="1"/>
    <col min="4298" max="4302" width="8.5703125" customWidth="1"/>
    <col min="4303" max="4303" width="16.140625" customWidth="1"/>
    <col min="4550" max="4550" width="8.140625" customWidth="1"/>
    <col min="4551" max="4551" width="46.5703125" customWidth="1"/>
    <col min="4552" max="4552" width="6.5703125" customWidth="1"/>
    <col min="4553" max="4553" width="7.85546875" customWidth="1"/>
    <col min="4554" max="4558" width="8.5703125" customWidth="1"/>
    <col min="4559" max="4559" width="16.140625" customWidth="1"/>
    <col min="4806" max="4806" width="8.140625" customWidth="1"/>
    <col min="4807" max="4807" width="46.5703125" customWidth="1"/>
    <col min="4808" max="4808" width="6.5703125" customWidth="1"/>
    <col min="4809" max="4809" width="7.85546875" customWidth="1"/>
    <col min="4810" max="4814" width="8.5703125" customWidth="1"/>
    <col min="4815" max="4815" width="16.140625" customWidth="1"/>
    <col min="5062" max="5062" width="8.140625" customWidth="1"/>
    <col min="5063" max="5063" width="46.5703125" customWidth="1"/>
    <col min="5064" max="5064" width="6.5703125" customWidth="1"/>
    <col min="5065" max="5065" width="7.85546875" customWidth="1"/>
    <col min="5066" max="5070" width="8.5703125" customWidth="1"/>
    <col min="5071" max="5071" width="16.140625" customWidth="1"/>
    <col min="5318" max="5318" width="8.140625" customWidth="1"/>
    <col min="5319" max="5319" width="46.5703125" customWidth="1"/>
    <col min="5320" max="5320" width="6.5703125" customWidth="1"/>
    <col min="5321" max="5321" width="7.85546875" customWidth="1"/>
    <col min="5322" max="5326" width="8.5703125" customWidth="1"/>
    <col min="5327" max="5327" width="16.140625" customWidth="1"/>
    <col min="5574" max="5574" width="8.140625" customWidth="1"/>
    <col min="5575" max="5575" width="46.5703125" customWidth="1"/>
    <col min="5576" max="5576" width="6.5703125" customWidth="1"/>
    <col min="5577" max="5577" width="7.85546875" customWidth="1"/>
    <col min="5578" max="5582" width="8.5703125" customWidth="1"/>
    <col min="5583" max="5583" width="16.140625" customWidth="1"/>
    <col min="5830" max="5830" width="8.140625" customWidth="1"/>
    <col min="5831" max="5831" width="46.5703125" customWidth="1"/>
    <col min="5832" max="5832" width="6.5703125" customWidth="1"/>
    <col min="5833" max="5833" width="7.85546875" customWidth="1"/>
    <col min="5834" max="5838" width="8.5703125" customWidth="1"/>
    <col min="5839" max="5839" width="16.140625" customWidth="1"/>
    <col min="6086" max="6086" width="8.140625" customWidth="1"/>
    <col min="6087" max="6087" width="46.5703125" customWidth="1"/>
    <col min="6088" max="6088" width="6.5703125" customWidth="1"/>
    <col min="6089" max="6089" width="7.85546875" customWidth="1"/>
    <col min="6090" max="6094" width="8.5703125" customWidth="1"/>
    <col min="6095" max="6095" width="16.140625" customWidth="1"/>
    <col min="6342" max="6342" width="8.140625" customWidth="1"/>
    <col min="6343" max="6343" width="46.5703125" customWidth="1"/>
    <col min="6344" max="6344" width="6.5703125" customWidth="1"/>
    <col min="6345" max="6345" width="7.85546875" customWidth="1"/>
    <col min="6346" max="6350" width="8.5703125" customWidth="1"/>
    <col min="6351" max="6351" width="16.140625" customWidth="1"/>
    <col min="6598" max="6598" width="8.140625" customWidth="1"/>
    <col min="6599" max="6599" width="46.5703125" customWidth="1"/>
    <col min="6600" max="6600" width="6.5703125" customWidth="1"/>
    <col min="6601" max="6601" width="7.85546875" customWidth="1"/>
    <col min="6602" max="6606" width="8.5703125" customWidth="1"/>
    <col min="6607" max="6607" width="16.140625" customWidth="1"/>
    <col min="6854" max="6854" width="8.140625" customWidth="1"/>
    <col min="6855" max="6855" width="46.5703125" customWidth="1"/>
    <col min="6856" max="6856" width="6.5703125" customWidth="1"/>
    <col min="6857" max="6857" width="7.85546875" customWidth="1"/>
    <col min="6858" max="6862" width="8.5703125" customWidth="1"/>
    <col min="6863" max="6863" width="16.140625" customWidth="1"/>
    <col min="7110" max="7110" width="8.140625" customWidth="1"/>
    <col min="7111" max="7111" width="46.5703125" customWidth="1"/>
    <col min="7112" max="7112" width="6.5703125" customWidth="1"/>
    <col min="7113" max="7113" width="7.85546875" customWidth="1"/>
    <col min="7114" max="7118" width="8.5703125" customWidth="1"/>
    <col min="7119" max="7119" width="16.140625" customWidth="1"/>
    <col min="7366" max="7366" width="8.140625" customWidth="1"/>
    <col min="7367" max="7367" width="46.5703125" customWidth="1"/>
    <col min="7368" max="7368" width="6.5703125" customWidth="1"/>
    <col min="7369" max="7369" width="7.85546875" customWidth="1"/>
    <col min="7370" max="7374" width="8.5703125" customWidth="1"/>
    <col min="7375" max="7375" width="16.140625" customWidth="1"/>
    <col min="7622" max="7622" width="8.140625" customWidth="1"/>
    <col min="7623" max="7623" width="46.5703125" customWidth="1"/>
    <col min="7624" max="7624" width="6.5703125" customWidth="1"/>
    <col min="7625" max="7625" width="7.85546875" customWidth="1"/>
    <col min="7626" max="7630" width="8.5703125" customWidth="1"/>
    <col min="7631" max="7631" width="16.140625" customWidth="1"/>
    <col min="7878" max="7878" width="8.140625" customWidth="1"/>
    <col min="7879" max="7879" width="46.5703125" customWidth="1"/>
    <col min="7880" max="7880" width="6.5703125" customWidth="1"/>
    <col min="7881" max="7881" width="7.85546875" customWidth="1"/>
    <col min="7882" max="7886" width="8.5703125" customWidth="1"/>
    <col min="7887" max="7887" width="16.140625" customWidth="1"/>
    <col min="8134" max="8134" width="8.140625" customWidth="1"/>
    <col min="8135" max="8135" width="46.5703125" customWidth="1"/>
    <col min="8136" max="8136" width="6.5703125" customWidth="1"/>
    <col min="8137" max="8137" width="7.85546875" customWidth="1"/>
    <col min="8138" max="8142" width="8.5703125" customWidth="1"/>
    <col min="8143" max="8143" width="16.140625" customWidth="1"/>
    <col min="8390" max="8390" width="8.140625" customWidth="1"/>
    <col min="8391" max="8391" width="46.5703125" customWidth="1"/>
    <col min="8392" max="8392" width="6.5703125" customWidth="1"/>
    <col min="8393" max="8393" width="7.85546875" customWidth="1"/>
    <col min="8394" max="8398" width="8.5703125" customWidth="1"/>
    <col min="8399" max="8399" width="16.140625" customWidth="1"/>
    <col min="8646" max="8646" width="8.140625" customWidth="1"/>
    <col min="8647" max="8647" width="46.5703125" customWidth="1"/>
    <col min="8648" max="8648" width="6.5703125" customWidth="1"/>
    <col min="8649" max="8649" width="7.85546875" customWidth="1"/>
    <col min="8650" max="8654" width="8.5703125" customWidth="1"/>
    <col min="8655" max="8655" width="16.140625" customWidth="1"/>
    <col min="8902" max="8902" width="8.140625" customWidth="1"/>
    <col min="8903" max="8903" width="46.5703125" customWidth="1"/>
    <col min="8904" max="8904" width="6.5703125" customWidth="1"/>
    <col min="8905" max="8905" width="7.85546875" customWidth="1"/>
    <col min="8906" max="8910" width="8.5703125" customWidth="1"/>
    <col min="8911" max="8911" width="16.140625" customWidth="1"/>
    <col min="9158" max="9158" width="8.140625" customWidth="1"/>
    <col min="9159" max="9159" width="46.5703125" customWidth="1"/>
    <col min="9160" max="9160" width="6.5703125" customWidth="1"/>
    <col min="9161" max="9161" width="7.85546875" customWidth="1"/>
    <col min="9162" max="9166" width="8.5703125" customWidth="1"/>
    <col min="9167" max="9167" width="16.140625" customWidth="1"/>
    <col min="9414" max="9414" width="8.140625" customWidth="1"/>
    <col min="9415" max="9415" width="46.5703125" customWidth="1"/>
    <col min="9416" max="9416" width="6.5703125" customWidth="1"/>
    <col min="9417" max="9417" width="7.85546875" customWidth="1"/>
    <col min="9418" max="9422" width="8.5703125" customWidth="1"/>
    <col min="9423" max="9423" width="16.140625" customWidth="1"/>
    <col min="9670" max="9670" width="8.140625" customWidth="1"/>
    <col min="9671" max="9671" width="46.5703125" customWidth="1"/>
    <col min="9672" max="9672" width="6.5703125" customWidth="1"/>
    <col min="9673" max="9673" width="7.85546875" customWidth="1"/>
    <col min="9674" max="9678" width="8.5703125" customWidth="1"/>
    <col min="9679" max="9679" width="16.140625" customWidth="1"/>
    <col min="9926" max="9926" width="8.140625" customWidth="1"/>
    <col min="9927" max="9927" width="46.5703125" customWidth="1"/>
    <col min="9928" max="9928" width="6.5703125" customWidth="1"/>
    <col min="9929" max="9929" width="7.85546875" customWidth="1"/>
    <col min="9930" max="9934" width="8.5703125" customWidth="1"/>
    <col min="9935" max="9935" width="16.140625" customWidth="1"/>
    <col min="10182" max="10182" width="8.140625" customWidth="1"/>
    <col min="10183" max="10183" width="46.5703125" customWidth="1"/>
    <col min="10184" max="10184" width="6.5703125" customWidth="1"/>
    <col min="10185" max="10185" width="7.85546875" customWidth="1"/>
    <col min="10186" max="10190" width="8.5703125" customWidth="1"/>
    <col min="10191" max="10191" width="16.140625" customWidth="1"/>
    <col min="10438" max="10438" width="8.140625" customWidth="1"/>
    <col min="10439" max="10439" width="46.5703125" customWidth="1"/>
    <col min="10440" max="10440" width="6.5703125" customWidth="1"/>
    <col min="10441" max="10441" width="7.85546875" customWidth="1"/>
    <col min="10442" max="10446" width="8.5703125" customWidth="1"/>
    <col min="10447" max="10447" width="16.140625" customWidth="1"/>
    <col min="10694" max="10694" width="8.140625" customWidth="1"/>
    <col min="10695" max="10695" width="46.5703125" customWidth="1"/>
    <col min="10696" max="10696" width="6.5703125" customWidth="1"/>
    <col min="10697" max="10697" width="7.85546875" customWidth="1"/>
    <col min="10698" max="10702" width="8.5703125" customWidth="1"/>
    <col min="10703" max="10703" width="16.140625" customWidth="1"/>
    <col min="10950" max="10950" width="8.140625" customWidth="1"/>
    <col min="10951" max="10951" width="46.5703125" customWidth="1"/>
    <col min="10952" max="10952" width="6.5703125" customWidth="1"/>
    <col min="10953" max="10953" width="7.85546875" customWidth="1"/>
    <col min="10954" max="10958" width="8.5703125" customWidth="1"/>
    <col min="10959" max="10959" width="16.140625" customWidth="1"/>
    <col min="11206" max="11206" width="8.140625" customWidth="1"/>
    <col min="11207" max="11207" width="46.5703125" customWidth="1"/>
    <col min="11208" max="11208" width="6.5703125" customWidth="1"/>
    <col min="11209" max="11209" width="7.85546875" customWidth="1"/>
    <col min="11210" max="11214" width="8.5703125" customWidth="1"/>
    <col min="11215" max="11215" width="16.140625" customWidth="1"/>
    <col min="11462" max="11462" width="8.140625" customWidth="1"/>
    <col min="11463" max="11463" width="46.5703125" customWidth="1"/>
    <col min="11464" max="11464" width="6.5703125" customWidth="1"/>
    <col min="11465" max="11465" width="7.85546875" customWidth="1"/>
    <col min="11466" max="11470" width="8.5703125" customWidth="1"/>
    <col min="11471" max="11471" width="16.140625" customWidth="1"/>
    <col min="11718" max="11718" width="8.140625" customWidth="1"/>
    <col min="11719" max="11719" width="46.5703125" customWidth="1"/>
    <col min="11720" max="11720" width="6.5703125" customWidth="1"/>
    <col min="11721" max="11721" width="7.85546875" customWidth="1"/>
    <col min="11722" max="11726" width="8.5703125" customWidth="1"/>
    <col min="11727" max="11727" width="16.140625" customWidth="1"/>
    <col min="11974" max="11974" width="8.140625" customWidth="1"/>
    <col min="11975" max="11975" width="46.5703125" customWidth="1"/>
    <col min="11976" max="11976" width="6.5703125" customWidth="1"/>
    <col min="11977" max="11977" width="7.85546875" customWidth="1"/>
    <col min="11978" max="11982" width="8.5703125" customWidth="1"/>
    <col min="11983" max="11983" width="16.140625" customWidth="1"/>
    <col min="12230" max="12230" width="8.140625" customWidth="1"/>
    <col min="12231" max="12231" width="46.5703125" customWidth="1"/>
    <col min="12232" max="12232" width="6.5703125" customWidth="1"/>
    <col min="12233" max="12233" width="7.85546875" customWidth="1"/>
    <col min="12234" max="12238" width="8.5703125" customWidth="1"/>
    <col min="12239" max="12239" width="16.140625" customWidth="1"/>
    <col min="12486" max="12486" width="8.140625" customWidth="1"/>
    <col min="12487" max="12487" width="46.5703125" customWidth="1"/>
    <col min="12488" max="12488" width="6.5703125" customWidth="1"/>
    <col min="12489" max="12489" width="7.85546875" customWidth="1"/>
    <col min="12490" max="12494" width="8.5703125" customWidth="1"/>
    <col min="12495" max="12495" width="16.140625" customWidth="1"/>
    <col min="12742" max="12742" width="8.140625" customWidth="1"/>
    <col min="12743" max="12743" width="46.5703125" customWidth="1"/>
    <col min="12744" max="12744" width="6.5703125" customWidth="1"/>
    <col min="12745" max="12745" width="7.85546875" customWidth="1"/>
    <col min="12746" max="12750" width="8.5703125" customWidth="1"/>
    <col min="12751" max="12751" width="16.140625" customWidth="1"/>
    <col min="12998" max="12998" width="8.140625" customWidth="1"/>
    <col min="12999" max="12999" width="46.5703125" customWidth="1"/>
    <col min="13000" max="13000" width="6.5703125" customWidth="1"/>
    <col min="13001" max="13001" width="7.85546875" customWidth="1"/>
    <col min="13002" max="13006" width="8.5703125" customWidth="1"/>
    <col min="13007" max="13007" width="16.140625" customWidth="1"/>
    <col min="13254" max="13254" width="8.140625" customWidth="1"/>
    <col min="13255" max="13255" width="46.5703125" customWidth="1"/>
    <col min="13256" max="13256" width="6.5703125" customWidth="1"/>
    <col min="13257" max="13257" width="7.85546875" customWidth="1"/>
    <col min="13258" max="13262" width="8.5703125" customWidth="1"/>
    <col min="13263" max="13263" width="16.140625" customWidth="1"/>
    <col min="13510" max="13510" width="8.140625" customWidth="1"/>
    <col min="13511" max="13511" width="46.5703125" customWidth="1"/>
    <col min="13512" max="13512" width="6.5703125" customWidth="1"/>
    <col min="13513" max="13513" width="7.85546875" customWidth="1"/>
    <col min="13514" max="13518" width="8.5703125" customWidth="1"/>
    <col min="13519" max="13519" width="16.140625" customWidth="1"/>
    <col min="13766" max="13766" width="8.140625" customWidth="1"/>
    <col min="13767" max="13767" width="46.5703125" customWidth="1"/>
    <col min="13768" max="13768" width="6.5703125" customWidth="1"/>
    <col min="13769" max="13769" width="7.85546875" customWidth="1"/>
    <col min="13770" max="13774" width="8.5703125" customWidth="1"/>
    <col min="13775" max="13775" width="16.140625" customWidth="1"/>
    <col min="14022" max="14022" width="8.140625" customWidth="1"/>
    <col min="14023" max="14023" width="46.5703125" customWidth="1"/>
    <col min="14024" max="14024" width="6.5703125" customWidth="1"/>
    <col min="14025" max="14025" width="7.85546875" customWidth="1"/>
    <col min="14026" max="14030" width="8.5703125" customWidth="1"/>
    <col min="14031" max="14031" width="16.140625" customWidth="1"/>
    <col min="14278" max="14278" width="8.140625" customWidth="1"/>
    <col min="14279" max="14279" width="46.5703125" customWidth="1"/>
    <col min="14280" max="14280" width="6.5703125" customWidth="1"/>
    <col min="14281" max="14281" width="7.85546875" customWidth="1"/>
    <col min="14282" max="14286" width="8.5703125" customWidth="1"/>
    <col min="14287" max="14287" width="16.140625" customWidth="1"/>
    <col min="14534" max="14534" width="8.140625" customWidth="1"/>
    <col min="14535" max="14535" width="46.5703125" customWidth="1"/>
    <col min="14536" max="14536" width="6.5703125" customWidth="1"/>
    <col min="14537" max="14537" width="7.85546875" customWidth="1"/>
    <col min="14538" max="14542" width="8.5703125" customWidth="1"/>
    <col min="14543" max="14543" width="16.140625" customWidth="1"/>
    <col min="14790" max="14790" width="8.140625" customWidth="1"/>
    <col min="14791" max="14791" width="46.5703125" customWidth="1"/>
    <col min="14792" max="14792" width="6.5703125" customWidth="1"/>
    <col min="14793" max="14793" width="7.85546875" customWidth="1"/>
    <col min="14794" max="14798" width="8.5703125" customWidth="1"/>
    <col min="14799" max="14799" width="16.140625" customWidth="1"/>
    <col min="15046" max="15046" width="8.140625" customWidth="1"/>
    <col min="15047" max="15047" width="46.5703125" customWidth="1"/>
    <col min="15048" max="15048" width="6.5703125" customWidth="1"/>
    <col min="15049" max="15049" width="7.85546875" customWidth="1"/>
    <col min="15050" max="15054" width="8.5703125" customWidth="1"/>
    <col min="15055" max="15055" width="16.140625" customWidth="1"/>
    <col min="15302" max="15302" width="8.140625" customWidth="1"/>
    <col min="15303" max="15303" width="46.5703125" customWidth="1"/>
    <col min="15304" max="15304" width="6.5703125" customWidth="1"/>
    <col min="15305" max="15305" width="7.85546875" customWidth="1"/>
    <col min="15306" max="15310" width="8.5703125" customWidth="1"/>
    <col min="15311" max="15311" width="16.140625" customWidth="1"/>
    <col min="15558" max="15558" width="8.140625" customWidth="1"/>
    <col min="15559" max="15559" width="46.5703125" customWidth="1"/>
    <col min="15560" max="15560" width="6.5703125" customWidth="1"/>
    <col min="15561" max="15561" width="7.85546875" customWidth="1"/>
    <col min="15562" max="15566" width="8.5703125" customWidth="1"/>
    <col min="15567" max="15567" width="16.140625" customWidth="1"/>
    <col min="15814" max="15814" width="8.140625" customWidth="1"/>
    <col min="15815" max="15815" width="46.5703125" customWidth="1"/>
    <col min="15816" max="15816" width="6.5703125" customWidth="1"/>
    <col min="15817" max="15817" width="7.85546875" customWidth="1"/>
    <col min="15818" max="15822" width="8.5703125" customWidth="1"/>
    <col min="15823" max="15823" width="16.140625" customWidth="1"/>
  </cols>
  <sheetData>
    <row r="1" spans="1:8" x14ac:dyDescent="0.25">
      <c r="E1"/>
      <c r="H1"/>
    </row>
    <row r="2" spans="1:8" x14ac:dyDescent="0.25">
      <c r="E2"/>
      <c r="H2"/>
    </row>
    <row r="3" spans="1:8" ht="42" customHeight="1" x14ac:dyDescent="0.25">
      <c r="E3"/>
      <c r="H3"/>
    </row>
    <row r="4" spans="1:8" ht="29.25" customHeight="1" x14ac:dyDescent="0.35">
      <c r="B4" s="14" t="s">
        <v>674</v>
      </c>
      <c r="E4"/>
      <c r="H4"/>
    </row>
    <row r="5" spans="1:8" ht="18.75" x14ac:dyDescent="0.3">
      <c r="A5" s="25" t="s">
        <v>745</v>
      </c>
      <c r="D5" s="15"/>
      <c r="E5"/>
      <c r="H5"/>
    </row>
    <row r="6" spans="1:8" ht="18.75" x14ac:dyDescent="0.25">
      <c r="B6" s="265" t="s">
        <v>29</v>
      </c>
      <c r="E6"/>
      <c r="H6"/>
    </row>
    <row r="7" spans="1:8" x14ac:dyDescent="0.25">
      <c r="E7"/>
      <c r="H7"/>
    </row>
    <row r="8" spans="1:8" x14ac:dyDescent="0.25">
      <c r="A8" s="126"/>
      <c r="B8" s="126"/>
      <c r="C8" s="126"/>
      <c r="D8" s="126"/>
      <c r="F8" s="128"/>
      <c r="G8" s="129"/>
    </row>
    <row r="9" spans="1:8" ht="21" thickBot="1" x14ac:dyDescent="0.3">
      <c r="A9" s="126"/>
      <c r="B9" s="131" t="s">
        <v>675</v>
      </c>
      <c r="C9" s="132"/>
      <c r="D9" s="126"/>
      <c r="F9" s="128"/>
      <c r="G9" s="126"/>
    </row>
    <row r="10" spans="1:8" ht="17.25" thickTop="1" thickBot="1" x14ac:dyDescent="0.3">
      <c r="A10" s="342"/>
      <c r="B10" s="343" t="s">
        <v>284</v>
      </c>
      <c r="C10" s="344"/>
      <c r="D10" s="342"/>
      <c r="E10" s="345"/>
      <c r="F10" s="342"/>
      <c r="H10"/>
    </row>
    <row r="11" spans="1:8" ht="17.25" thickTop="1" thickBot="1" x14ac:dyDescent="0.3">
      <c r="A11" s="133"/>
      <c r="B11" s="134" t="s">
        <v>285</v>
      </c>
      <c r="C11" s="135" t="s">
        <v>286</v>
      </c>
      <c r="D11" s="136" t="s">
        <v>287</v>
      </c>
      <c r="E11" s="236" t="s">
        <v>288</v>
      </c>
      <c r="F11" s="236" t="s">
        <v>289</v>
      </c>
      <c r="H11"/>
    </row>
    <row r="12" spans="1:8" s="137" customFormat="1" ht="12.75" customHeight="1" thickTop="1" x14ac:dyDescent="0.25">
      <c r="A12" s="626" t="s">
        <v>290</v>
      </c>
      <c r="B12" s="627"/>
      <c r="C12" s="627"/>
      <c r="D12" s="627"/>
      <c r="E12" s="627"/>
      <c r="F12" s="628"/>
    </row>
    <row r="13" spans="1:8" s="142" customFormat="1" ht="12.75" x14ac:dyDescent="0.2">
      <c r="A13" s="138" t="s">
        <v>291</v>
      </c>
      <c r="B13" s="139"/>
      <c r="C13" s="140"/>
      <c r="D13" s="140"/>
      <c r="E13" s="141"/>
      <c r="F13" s="241"/>
    </row>
    <row r="14" spans="1:8" s="137" customFormat="1" ht="12.75" customHeight="1" x14ac:dyDescent="0.2">
      <c r="A14" s="143">
        <v>1074072</v>
      </c>
      <c r="B14" s="144" t="s">
        <v>292</v>
      </c>
      <c r="C14" s="145" t="s">
        <v>293</v>
      </c>
      <c r="D14" s="146">
        <v>48</v>
      </c>
      <c r="E14" s="147">
        <v>535.52</v>
      </c>
      <c r="F14" s="242" t="s">
        <v>294</v>
      </c>
    </row>
    <row r="15" spans="1:8" s="142" customFormat="1" ht="12.75" x14ac:dyDescent="0.2">
      <c r="A15" s="149" t="s">
        <v>295</v>
      </c>
      <c r="B15" s="150"/>
      <c r="C15" s="151"/>
      <c r="D15" s="152"/>
      <c r="E15" s="153"/>
      <c r="F15" s="242"/>
    </row>
    <row r="16" spans="1:8" s="142" customFormat="1" ht="11.25" x14ac:dyDescent="0.2">
      <c r="A16" s="143">
        <v>1564181</v>
      </c>
      <c r="B16" s="144" t="s">
        <v>296</v>
      </c>
      <c r="C16" s="145" t="s">
        <v>297</v>
      </c>
      <c r="D16" s="145">
        <v>768</v>
      </c>
      <c r="E16" s="147">
        <v>644.91999999999996</v>
      </c>
      <c r="F16" s="243">
        <v>4740008200700</v>
      </c>
    </row>
    <row r="17" spans="1:6" s="137" customFormat="1" ht="12.75" customHeight="1" x14ac:dyDescent="0.2">
      <c r="A17" s="149" t="s">
        <v>298</v>
      </c>
      <c r="B17" s="150"/>
      <c r="C17" s="151"/>
      <c r="D17" s="151"/>
      <c r="E17" s="153"/>
      <c r="F17" s="242"/>
    </row>
    <row r="18" spans="1:6" s="142" customFormat="1" ht="11.25" x14ac:dyDescent="0.2">
      <c r="A18" s="143">
        <v>792179</v>
      </c>
      <c r="B18" s="144" t="s">
        <v>299</v>
      </c>
      <c r="C18" s="145" t="s">
        <v>293</v>
      </c>
      <c r="D18" s="146">
        <v>48</v>
      </c>
      <c r="E18" s="147">
        <v>616.59</v>
      </c>
      <c r="F18" s="242" t="s">
        <v>300</v>
      </c>
    </row>
    <row r="19" spans="1:6" s="126" customFormat="1" ht="11.25" x14ac:dyDescent="0.2">
      <c r="A19" s="143">
        <v>1604014</v>
      </c>
      <c r="B19" s="144" t="s">
        <v>301</v>
      </c>
      <c r="C19" s="145" t="s">
        <v>293</v>
      </c>
      <c r="D19" s="146">
        <v>48</v>
      </c>
      <c r="E19" s="147">
        <v>622.28</v>
      </c>
      <c r="F19" s="244">
        <v>4607144528115</v>
      </c>
    </row>
    <row r="20" spans="1:6" s="157" customFormat="1" ht="12.75" customHeight="1" x14ac:dyDescent="0.2">
      <c r="A20" s="149" t="s">
        <v>302</v>
      </c>
      <c r="B20" s="155"/>
      <c r="C20" s="156"/>
      <c r="D20" s="156"/>
      <c r="E20" s="153"/>
      <c r="F20" s="242"/>
    </row>
    <row r="21" spans="1:6" s="142" customFormat="1" ht="11.25" x14ac:dyDescent="0.2">
      <c r="A21" s="143">
        <v>1346615</v>
      </c>
      <c r="B21" s="144" t="s">
        <v>303</v>
      </c>
      <c r="C21" s="145" t="s">
        <v>293</v>
      </c>
      <c r="D21" s="146">
        <v>48</v>
      </c>
      <c r="E21" s="147">
        <v>589.98</v>
      </c>
      <c r="F21" s="242" t="s">
        <v>304</v>
      </c>
    </row>
    <row r="22" spans="1:6" s="159" customFormat="1" ht="12.75" customHeight="1" x14ac:dyDescent="0.2">
      <c r="A22" s="149" t="s">
        <v>305</v>
      </c>
      <c r="B22" s="158"/>
      <c r="C22" s="140"/>
      <c r="D22" s="140"/>
      <c r="E22" s="153"/>
      <c r="F22" s="242"/>
    </row>
    <row r="23" spans="1:6" s="159" customFormat="1" ht="12.75" customHeight="1" x14ac:dyDescent="0.2">
      <c r="A23" s="143">
        <v>790891</v>
      </c>
      <c r="B23" s="144" t="s">
        <v>306</v>
      </c>
      <c r="C23" s="145" t="s">
        <v>293</v>
      </c>
      <c r="D23" s="146">
        <v>48</v>
      </c>
      <c r="E23" s="147">
        <v>647.96</v>
      </c>
      <c r="F23" s="242" t="s">
        <v>307</v>
      </c>
    </row>
    <row r="24" spans="1:6" s="159" customFormat="1" ht="12.75" customHeight="1" x14ac:dyDescent="0.2">
      <c r="A24" s="143">
        <v>1604016</v>
      </c>
      <c r="B24" s="144" t="s">
        <v>308</v>
      </c>
      <c r="C24" s="145" t="s">
        <v>293</v>
      </c>
      <c r="D24" s="146">
        <v>48</v>
      </c>
      <c r="E24" s="147">
        <v>653.96</v>
      </c>
      <c r="F24" s="244">
        <v>4607144528122</v>
      </c>
    </row>
    <row r="25" spans="1:6" s="159" customFormat="1" ht="12.75" customHeight="1" x14ac:dyDescent="0.25">
      <c r="A25" s="401" t="s">
        <v>309</v>
      </c>
      <c r="B25" s="402"/>
      <c r="C25" s="400"/>
      <c r="D25" s="400"/>
      <c r="E25" s="400"/>
      <c r="F25" s="403"/>
    </row>
    <row r="26" spans="1:6" s="159" customFormat="1" ht="12.75" customHeight="1" x14ac:dyDescent="0.2">
      <c r="A26" s="160" t="s">
        <v>310</v>
      </c>
      <c r="B26" s="161"/>
      <c r="C26" s="161"/>
      <c r="D26" s="161"/>
      <c r="E26" s="242"/>
      <c r="F26" s="405"/>
    </row>
    <row r="27" spans="1:6" s="142" customFormat="1" ht="11.25" x14ac:dyDescent="0.2">
      <c r="A27" s="143">
        <v>854618</v>
      </c>
      <c r="B27" s="144" t="s">
        <v>311</v>
      </c>
      <c r="C27" s="145" t="s">
        <v>312</v>
      </c>
      <c r="D27" s="162">
        <v>200</v>
      </c>
      <c r="E27" s="147">
        <v>104.08</v>
      </c>
      <c r="F27" s="242" t="s">
        <v>313</v>
      </c>
    </row>
    <row r="28" spans="1:6" s="142" customFormat="1" ht="11.25" x14ac:dyDescent="0.2">
      <c r="A28" s="143">
        <v>792194</v>
      </c>
      <c r="B28" s="144" t="s">
        <v>314</v>
      </c>
      <c r="C28" s="145" t="s">
        <v>293</v>
      </c>
      <c r="D28" s="146">
        <v>48</v>
      </c>
      <c r="E28" s="147">
        <v>437.17</v>
      </c>
      <c r="F28" s="242" t="s">
        <v>315</v>
      </c>
    </row>
    <row r="29" spans="1:6" s="159" customFormat="1" ht="12.75" customHeight="1" x14ac:dyDescent="0.2">
      <c r="A29" s="163" t="s">
        <v>316</v>
      </c>
      <c r="B29" s="164"/>
      <c r="C29" s="164"/>
      <c r="D29" s="164"/>
      <c r="E29" s="164"/>
      <c r="F29" s="242"/>
    </row>
    <row r="30" spans="1:6" s="142" customFormat="1" ht="11.25" x14ac:dyDescent="0.2">
      <c r="A30" s="143">
        <v>821011</v>
      </c>
      <c r="B30" s="144" t="s">
        <v>317</v>
      </c>
      <c r="C30" s="145" t="s">
        <v>293</v>
      </c>
      <c r="D30" s="146">
        <v>48</v>
      </c>
      <c r="E30" s="147">
        <v>551.87</v>
      </c>
      <c r="F30" s="242" t="s">
        <v>318</v>
      </c>
    </row>
    <row r="31" spans="1:6" s="142" customFormat="1" ht="11.25" x14ac:dyDescent="0.2">
      <c r="A31" s="143">
        <v>820990</v>
      </c>
      <c r="B31" s="144" t="s">
        <v>319</v>
      </c>
      <c r="C31" s="145" t="s">
        <v>293</v>
      </c>
      <c r="D31" s="146">
        <v>48</v>
      </c>
      <c r="E31" s="147">
        <v>679.25</v>
      </c>
      <c r="F31" s="242" t="s">
        <v>320</v>
      </c>
    </row>
    <row r="32" spans="1:6" s="159" customFormat="1" ht="12.75" customHeight="1" x14ac:dyDescent="0.2">
      <c r="A32" s="163" t="s">
        <v>321</v>
      </c>
      <c r="B32" s="164"/>
      <c r="C32" s="164"/>
      <c r="D32" s="164"/>
      <c r="E32" s="153"/>
      <c r="F32" s="242"/>
    </row>
    <row r="33" spans="1:6" s="142" customFormat="1" ht="11.25" x14ac:dyDescent="0.2">
      <c r="A33" s="143">
        <v>790892</v>
      </c>
      <c r="B33" s="144" t="s">
        <v>322</v>
      </c>
      <c r="C33" s="145" t="s">
        <v>293</v>
      </c>
      <c r="D33" s="146">
        <v>48</v>
      </c>
      <c r="E33" s="147">
        <v>702.59</v>
      </c>
      <c r="F33" s="242" t="s">
        <v>323</v>
      </c>
    </row>
    <row r="34" spans="1:6" s="142" customFormat="1" ht="11.25" x14ac:dyDescent="0.2">
      <c r="A34" s="143">
        <v>792193</v>
      </c>
      <c r="B34" s="144" t="s">
        <v>324</v>
      </c>
      <c r="C34" s="145" t="s">
        <v>293</v>
      </c>
      <c r="D34" s="146">
        <v>48</v>
      </c>
      <c r="E34" s="147">
        <v>802.44</v>
      </c>
      <c r="F34" s="242" t="s">
        <v>325</v>
      </c>
    </row>
    <row r="35" spans="1:6" s="159" customFormat="1" ht="12.75" customHeight="1" x14ac:dyDescent="0.2">
      <c r="A35" s="143">
        <v>1604018</v>
      </c>
      <c r="B35" s="144" t="s">
        <v>326</v>
      </c>
      <c r="C35" s="145" t="s">
        <v>293</v>
      </c>
      <c r="D35" s="146">
        <v>48</v>
      </c>
      <c r="E35" s="147">
        <v>695.83</v>
      </c>
      <c r="F35" s="244">
        <v>4607144528146</v>
      </c>
    </row>
    <row r="36" spans="1:6" s="142" customFormat="1" ht="12.75" x14ac:dyDescent="0.2">
      <c r="A36" s="163" t="s">
        <v>327</v>
      </c>
      <c r="B36" s="164"/>
      <c r="C36" s="164"/>
      <c r="D36" s="164"/>
      <c r="E36" s="153"/>
      <c r="F36" s="242"/>
    </row>
    <row r="37" spans="1:6" s="142" customFormat="1" ht="11.25" x14ac:dyDescent="0.2">
      <c r="A37" s="143">
        <v>792180</v>
      </c>
      <c r="B37" s="144" t="s">
        <v>328</v>
      </c>
      <c r="C37" s="145" t="s">
        <v>293</v>
      </c>
      <c r="D37" s="146">
        <v>48</v>
      </c>
      <c r="E37" s="147">
        <v>702.59</v>
      </c>
      <c r="F37" s="242" t="s">
        <v>329</v>
      </c>
    </row>
    <row r="38" spans="1:6" s="126" customFormat="1" ht="11.25" customHeight="1" x14ac:dyDescent="0.2">
      <c r="A38" s="143">
        <v>792192</v>
      </c>
      <c r="B38" s="144" t="s">
        <v>330</v>
      </c>
      <c r="C38" s="145" t="s">
        <v>293</v>
      </c>
      <c r="D38" s="146">
        <v>48</v>
      </c>
      <c r="E38" s="147">
        <v>739.56</v>
      </c>
      <c r="F38" s="242" t="s">
        <v>331</v>
      </c>
    </row>
    <row r="39" spans="1:6" s="137" customFormat="1" ht="12.75" customHeight="1" x14ac:dyDescent="0.2">
      <c r="A39" s="163" t="s">
        <v>332</v>
      </c>
      <c r="B39" s="164"/>
      <c r="C39" s="164"/>
      <c r="D39" s="164"/>
      <c r="E39" s="153"/>
      <c r="F39" s="242"/>
    </row>
    <row r="40" spans="1:6" s="142" customFormat="1" ht="11.25" x14ac:dyDescent="0.2">
      <c r="A40" s="143">
        <v>1604024</v>
      </c>
      <c r="B40" s="144" t="s">
        <v>333</v>
      </c>
      <c r="C40" s="145" t="s">
        <v>293</v>
      </c>
      <c r="D40" s="146">
        <v>48</v>
      </c>
      <c r="E40" s="147">
        <v>1053.8599999999999</v>
      </c>
      <c r="F40" s="245">
        <v>4607144528153</v>
      </c>
    </row>
    <row r="41" spans="1:6" s="142" customFormat="1" ht="12.75" customHeight="1" x14ac:dyDescent="0.2">
      <c r="A41" s="143">
        <v>1604021</v>
      </c>
      <c r="B41" s="144" t="s">
        <v>334</v>
      </c>
      <c r="C41" s="145" t="s">
        <v>293</v>
      </c>
      <c r="D41" s="146">
        <v>48</v>
      </c>
      <c r="E41" s="147">
        <v>1087.17</v>
      </c>
      <c r="F41" s="245">
        <v>4607144528177</v>
      </c>
    </row>
    <row r="42" spans="1:6" s="142" customFormat="1" ht="11.25" x14ac:dyDescent="0.2">
      <c r="A42" s="143">
        <v>1604019</v>
      </c>
      <c r="B42" s="144" t="s">
        <v>335</v>
      </c>
      <c r="C42" s="145" t="s">
        <v>293</v>
      </c>
      <c r="D42" s="146">
        <v>48</v>
      </c>
      <c r="E42" s="147">
        <v>1043.74</v>
      </c>
      <c r="F42" s="244">
        <v>4607144528160</v>
      </c>
    </row>
    <row r="43" spans="1:6" s="142" customFormat="1" ht="12.75" x14ac:dyDescent="0.2">
      <c r="A43" s="163" t="s">
        <v>336</v>
      </c>
      <c r="B43" s="164"/>
      <c r="C43" s="164"/>
      <c r="D43" s="164"/>
      <c r="E43" s="153"/>
      <c r="F43" s="242"/>
    </row>
    <row r="44" spans="1:6" s="142" customFormat="1" ht="11.25" x14ac:dyDescent="0.2">
      <c r="A44" s="143">
        <v>792201</v>
      </c>
      <c r="B44" s="144" t="s">
        <v>337</v>
      </c>
      <c r="C44" s="145" t="s">
        <v>293</v>
      </c>
      <c r="D44" s="146">
        <v>48</v>
      </c>
      <c r="E44" s="147">
        <v>841.33</v>
      </c>
      <c r="F44" s="242" t="s">
        <v>338</v>
      </c>
    </row>
    <row r="45" spans="1:6" s="142" customFormat="1" ht="12.75" customHeight="1" x14ac:dyDescent="0.2">
      <c r="A45" s="143">
        <v>792203</v>
      </c>
      <c r="B45" s="144" t="s">
        <v>339</v>
      </c>
      <c r="C45" s="145" t="s">
        <v>293</v>
      </c>
      <c r="D45" s="146">
        <v>48</v>
      </c>
      <c r="E45" s="147">
        <v>989.18</v>
      </c>
      <c r="F45" s="242" t="s">
        <v>340</v>
      </c>
    </row>
    <row r="46" spans="1:6" s="142" customFormat="1" ht="12.75" customHeight="1" x14ac:dyDescent="0.2">
      <c r="A46" s="143">
        <v>1861813</v>
      </c>
      <c r="B46" s="144" t="s">
        <v>341</v>
      </c>
      <c r="C46" s="145" t="s">
        <v>293</v>
      </c>
      <c r="D46" s="146">
        <v>48</v>
      </c>
      <c r="E46" s="147">
        <v>833.24</v>
      </c>
      <c r="F46" s="246" t="s">
        <v>342</v>
      </c>
    </row>
    <row r="47" spans="1:6" s="142" customFormat="1" ht="12.75" customHeight="1" x14ac:dyDescent="0.25">
      <c r="A47" s="165" t="s">
        <v>343</v>
      </c>
      <c r="B47" s="166"/>
      <c r="C47" s="166"/>
      <c r="D47" s="166"/>
      <c r="E47" s="167"/>
      <c r="F47" s="242"/>
    </row>
    <row r="48" spans="1:6" s="154" customFormat="1" ht="11.25" x14ac:dyDescent="0.2">
      <c r="A48" s="168">
        <v>1120603</v>
      </c>
      <c r="B48" s="169" t="s">
        <v>344</v>
      </c>
      <c r="C48" s="170" t="s">
        <v>293</v>
      </c>
      <c r="D48" s="170">
        <v>24</v>
      </c>
      <c r="E48" s="147">
        <v>1856.36</v>
      </c>
      <c r="F48" s="247">
        <v>4607144526173</v>
      </c>
    </row>
    <row r="49" spans="1:6" s="154" customFormat="1" ht="11.25" x14ac:dyDescent="0.2">
      <c r="A49" s="168">
        <v>1289742</v>
      </c>
      <c r="B49" s="169" t="s">
        <v>345</v>
      </c>
      <c r="C49" s="170" t="s">
        <v>293</v>
      </c>
      <c r="D49" s="170">
        <v>24</v>
      </c>
      <c r="E49" s="147">
        <v>2555.96</v>
      </c>
      <c r="F49" s="247">
        <v>4607144527002</v>
      </c>
    </row>
    <row r="50" spans="1:6" s="154" customFormat="1" ht="11.25" x14ac:dyDescent="0.2">
      <c r="A50" s="168">
        <v>1289744</v>
      </c>
      <c r="B50" s="169" t="s">
        <v>346</v>
      </c>
      <c r="C50" s="170" t="s">
        <v>293</v>
      </c>
      <c r="D50" s="170">
        <v>24</v>
      </c>
      <c r="E50" s="147">
        <v>2690.49</v>
      </c>
      <c r="F50" s="247">
        <v>4607144527019</v>
      </c>
    </row>
    <row r="51" spans="1:6" s="154" customFormat="1" ht="11.25" x14ac:dyDescent="0.2">
      <c r="A51" s="168">
        <v>1289747</v>
      </c>
      <c r="B51" s="169" t="s">
        <v>347</v>
      </c>
      <c r="C51" s="170" t="s">
        <v>293</v>
      </c>
      <c r="D51" s="170">
        <v>24</v>
      </c>
      <c r="E51" s="147">
        <v>3121</v>
      </c>
      <c r="F51" s="247">
        <v>4607144527033</v>
      </c>
    </row>
    <row r="52" spans="1:6" s="154" customFormat="1" ht="11.25" x14ac:dyDescent="0.2">
      <c r="A52" s="168">
        <v>1289750</v>
      </c>
      <c r="B52" s="169" t="s">
        <v>348</v>
      </c>
      <c r="C52" s="170" t="s">
        <v>293</v>
      </c>
      <c r="D52" s="170">
        <v>24</v>
      </c>
      <c r="E52" s="147">
        <v>3443.84</v>
      </c>
      <c r="F52" s="247">
        <v>4607144527026</v>
      </c>
    </row>
    <row r="53" spans="1:6" s="154" customFormat="1" ht="11.25" x14ac:dyDescent="0.2">
      <c r="A53" s="168">
        <v>1289754</v>
      </c>
      <c r="B53" s="169" t="s">
        <v>349</v>
      </c>
      <c r="C53" s="170" t="s">
        <v>293</v>
      </c>
      <c r="D53" s="170">
        <v>24</v>
      </c>
      <c r="E53" s="147">
        <v>3616.03</v>
      </c>
      <c r="F53" s="247">
        <v>4607144527040</v>
      </c>
    </row>
    <row r="54" spans="1:6" s="142" customFormat="1" ht="12.75" x14ac:dyDescent="0.2">
      <c r="A54" s="171" t="s">
        <v>350</v>
      </c>
      <c r="B54" s="167"/>
      <c r="C54" s="167"/>
      <c r="D54" s="167"/>
      <c r="E54" s="172"/>
      <c r="F54" s="242"/>
    </row>
    <row r="55" spans="1:6" s="154" customFormat="1" ht="11.25" x14ac:dyDescent="0.2">
      <c r="A55" s="168">
        <v>1120602</v>
      </c>
      <c r="B55" s="169" t="s">
        <v>351</v>
      </c>
      <c r="C55" s="170" t="s">
        <v>293</v>
      </c>
      <c r="D55" s="170">
        <v>24</v>
      </c>
      <c r="E55" s="147">
        <v>1715.21</v>
      </c>
      <c r="F55" s="247">
        <v>4607144526180</v>
      </c>
    </row>
    <row r="56" spans="1:6" s="142" customFormat="1" ht="11.25" x14ac:dyDescent="0.2">
      <c r="A56" s="143">
        <v>1289485</v>
      </c>
      <c r="B56" s="173" t="s">
        <v>352</v>
      </c>
      <c r="C56" s="174" t="s">
        <v>293</v>
      </c>
      <c r="D56" s="174">
        <v>24</v>
      </c>
      <c r="E56" s="147">
        <v>2362.7199999999998</v>
      </c>
      <c r="F56" s="244">
        <v>4607144526951</v>
      </c>
    </row>
    <row r="57" spans="1:6" s="142" customFormat="1" ht="11.25" x14ac:dyDescent="0.2">
      <c r="A57" s="143">
        <v>1289486</v>
      </c>
      <c r="B57" s="173" t="s">
        <v>353</v>
      </c>
      <c r="C57" s="174" t="s">
        <v>293</v>
      </c>
      <c r="D57" s="174">
        <v>24</v>
      </c>
      <c r="E57" s="147">
        <v>2438.13</v>
      </c>
      <c r="F57" s="244">
        <v>4607144526968</v>
      </c>
    </row>
    <row r="58" spans="1:6" s="142" customFormat="1" ht="11.25" x14ac:dyDescent="0.2">
      <c r="A58" s="143">
        <v>1289487</v>
      </c>
      <c r="B58" s="173" t="s">
        <v>354</v>
      </c>
      <c r="C58" s="174" t="s">
        <v>293</v>
      </c>
      <c r="D58" s="174">
        <v>24</v>
      </c>
      <c r="E58" s="147">
        <v>2513.54</v>
      </c>
      <c r="F58" s="244">
        <v>4607144526975</v>
      </c>
    </row>
    <row r="59" spans="1:6" s="142" customFormat="1" ht="11.25" x14ac:dyDescent="0.2">
      <c r="A59" s="143">
        <v>1289489</v>
      </c>
      <c r="B59" s="173" t="s">
        <v>355</v>
      </c>
      <c r="C59" s="174" t="s">
        <v>293</v>
      </c>
      <c r="D59" s="174">
        <v>24</v>
      </c>
      <c r="E59" s="147">
        <v>2915.71</v>
      </c>
      <c r="F59" s="244">
        <v>4607144526982</v>
      </c>
    </row>
    <row r="60" spans="1:6" s="142" customFormat="1" ht="12.75" customHeight="1" x14ac:dyDescent="0.2">
      <c r="A60" s="143">
        <v>1289490</v>
      </c>
      <c r="B60" s="173" t="s">
        <v>356</v>
      </c>
      <c r="C60" s="174" t="s">
        <v>293</v>
      </c>
      <c r="D60" s="174">
        <v>24</v>
      </c>
      <c r="E60" s="147">
        <v>3217.33</v>
      </c>
      <c r="F60" s="244">
        <v>4607144526999</v>
      </c>
    </row>
    <row r="61" spans="1:6" s="142" customFormat="1" ht="12.75" x14ac:dyDescent="0.2">
      <c r="A61" s="171" t="s">
        <v>357</v>
      </c>
      <c r="B61" s="167"/>
      <c r="C61" s="167"/>
      <c r="D61" s="167"/>
      <c r="E61" s="172"/>
      <c r="F61" s="244"/>
    </row>
    <row r="62" spans="1:6" s="154" customFormat="1" ht="11.25" x14ac:dyDescent="0.2">
      <c r="A62" s="168">
        <v>1119425</v>
      </c>
      <c r="B62" s="169" t="s">
        <v>358</v>
      </c>
      <c r="C62" s="170" t="s">
        <v>293</v>
      </c>
      <c r="D62" s="170">
        <v>24</v>
      </c>
      <c r="E62" s="147">
        <v>1749.56</v>
      </c>
      <c r="F62" s="247">
        <v>4607144526197</v>
      </c>
    </row>
    <row r="63" spans="1:6" s="142" customFormat="1" ht="11.25" x14ac:dyDescent="0.2">
      <c r="A63" s="143">
        <v>1290046</v>
      </c>
      <c r="B63" s="173" t="s">
        <v>359</v>
      </c>
      <c r="C63" s="174" t="s">
        <v>293</v>
      </c>
      <c r="D63" s="174">
        <v>24</v>
      </c>
      <c r="E63" s="147">
        <v>2403.31</v>
      </c>
      <c r="F63" s="244">
        <v>4607144527057</v>
      </c>
    </row>
    <row r="64" spans="1:6" s="142" customFormat="1" ht="11.25" x14ac:dyDescent="0.2">
      <c r="A64" s="143">
        <v>1290047</v>
      </c>
      <c r="B64" s="173" t="s">
        <v>360</v>
      </c>
      <c r="C64" s="174" t="s">
        <v>293</v>
      </c>
      <c r="D64" s="174">
        <v>24</v>
      </c>
      <c r="E64" s="147">
        <v>2479.9899999999998</v>
      </c>
      <c r="F64" s="244">
        <v>4607144527064</v>
      </c>
    </row>
    <row r="65" spans="1:6" s="142" customFormat="1" ht="11.25" x14ac:dyDescent="0.2">
      <c r="A65" s="143">
        <v>1290049</v>
      </c>
      <c r="B65" s="173" t="s">
        <v>361</v>
      </c>
      <c r="C65" s="174" t="s">
        <v>293</v>
      </c>
      <c r="D65" s="174">
        <v>24</v>
      </c>
      <c r="E65" s="147">
        <v>2556.6999999999998</v>
      </c>
      <c r="F65" s="244">
        <v>4607144527071</v>
      </c>
    </row>
    <row r="66" spans="1:6" s="142" customFormat="1" ht="11.25" x14ac:dyDescent="0.2">
      <c r="A66" s="143">
        <v>1290063</v>
      </c>
      <c r="B66" s="173" t="s">
        <v>362</v>
      </c>
      <c r="C66" s="174" t="s">
        <v>293</v>
      </c>
      <c r="D66" s="174">
        <v>24</v>
      </c>
      <c r="E66" s="147">
        <v>2965.77</v>
      </c>
      <c r="F66" s="244">
        <v>4607144527088</v>
      </c>
    </row>
    <row r="67" spans="1:6" s="142" customFormat="1" ht="12.75" customHeight="1" x14ac:dyDescent="0.2">
      <c r="A67" s="143">
        <v>1290065</v>
      </c>
      <c r="B67" s="173" t="s">
        <v>363</v>
      </c>
      <c r="C67" s="174" t="s">
        <v>293</v>
      </c>
      <c r="D67" s="174">
        <v>24</v>
      </c>
      <c r="E67" s="147">
        <v>3272.57</v>
      </c>
      <c r="F67" s="244">
        <v>4607144527095</v>
      </c>
    </row>
    <row r="68" spans="1:6" s="142" customFormat="1" ht="12.75" x14ac:dyDescent="0.2">
      <c r="A68" s="171" t="s">
        <v>364</v>
      </c>
      <c r="B68" s="167"/>
      <c r="C68" s="167"/>
      <c r="D68" s="167"/>
      <c r="E68" s="172"/>
      <c r="F68" s="244"/>
    </row>
    <row r="69" spans="1:6" s="154" customFormat="1" ht="11.25" x14ac:dyDescent="0.2">
      <c r="A69" s="168">
        <v>1119426</v>
      </c>
      <c r="B69" s="169" t="s">
        <v>365</v>
      </c>
      <c r="C69" s="170" t="s">
        <v>293</v>
      </c>
      <c r="D69" s="170">
        <v>24</v>
      </c>
      <c r="E69" s="147">
        <v>1802.08</v>
      </c>
      <c r="F69" s="247">
        <v>4607144526203</v>
      </c>
    </row>
    <row r="70" spans="1:6" s="142" customFormat="1" ht="11.25" x14ac:dyDescent="0.2">
      <c r="A70" s="143">
        <v>1290070</v>
      </c>
      <c r="B70" s="173" t="s">
        <v>366</v>
      </c>
      <c r="C70" s="174" t="s">
        <v>293</v>
      </c>
      <c r="D70" s="174">
        <v>24</v>
      </c>
      <c r="E70" s="147">
        <v>2491.75</v>
      </c>
      <c r="F70" s="244">
        <v>4607144527101</v>
      </c>
    </row>
    <row r="71" spans="1:6" s="142" customFormat="1" ht="11.25" x14ac:dyDescent="0.2">
      <c r="A71" s="143">
        <v>1290072</v>
      </c>
      <c r="B71" s="173" t="s">
        <v>367</v>
      </c>
      <c r="C71" s="174" t="s">
        <v>293</v>
      </c>
      <c r="D71" s="174">
        <v>24</v>
      </c>
      <c r="E71" s="147">
        <v>2570.4299999999998</v>
      </c>
      <c r="F71" s="244">
        <v>4607144527118</v>
      </c>
    </row>
    <row r="72" spans="1:6" s="142" customFormat="1" ht="11.25" x14ac:dyDescent="0.2">
      <c r="A72" s="143">
        <v>1290073</v>
      </c>
      <c r="B72" s="173" t="s">
        <v>368</v>
      </c>
      <c r="C72" s="174" t="s">
        <v>293</v>
      </c>
      <c r="D72" s="174">
        <v>24</v>
      </c>
      <c r="E72" s="147">
        <v>2675.35</v>
      </c>
      <c r="F72" s="244">
        <v>4607144527125</v>
      </c>
    </row>
    <row r="73" spans="1:6" s="142" customFormat="1" ht="11.25" x14ac:dyDescent="0.2">
      <c r="A73" s="143">
        <v>1290074</v>
      </c>
      <c r="B73" s="173" t="s">
        <v>369</v>
      </c>
      <c r="C73" s="174" t="s">
        <v>293</v>
      </c>
      <c r="D73" s="174">
        <v>24</v>
      </c>
      <c r="E73" s="147">
        <v>3042.55</v>
      </c>
      <c r="F73" s="244">
        <v>4607144527132</v>
      </c>
    </row>
    <row r="74" spans="1:6" s="142" customFormat="1" ht="12.75" customHeight="1" x14ac:dyDescent="0.2">
      <c r="A74" s="143">
        <v>1290076</v>
      </c>
      <c r="B74" s="173" t="s">
        <v>370</v>
      </c>
      <c r="C74" s="174" t="s">
        <v>293</v>
      </c>
      <c r="D74" s="174">
        <v>24</v>
      </c>
      <c r="E74" s="147">
        <v>3357.29</v>
      </c>
      <c r="F74" s="244">
        <v>4607144527149</v>
      </c>
    </row>
    <row r="75" spans="1:6" s="142" customFormat="1" ht="12.75" x14ac:dyDescent="0.2">
      <c r="A75" s="171" t="s">
        <v>371</v>
      </c>
      <c r="B75" s="167"/>
      <c r="C75" s="167"/>
      <c r="D75" s="167"/>
      <c r="E75" s="172"/>
      <c r="F75" s="242"/>
    </row>
    <row r="76" spans="1:6" s="142" customFormat="1" ht="11.25" x14ac:dyDescent="0.2">
      <c r="A76" s="143">
        <v>1883038</v>
      </c>
      <c r="B76" s="173" t="s">
        <v>372</v>
      </c>
      <c r="C76" s="174" t="s">
        <v>293</v>
      </c>
      <c r="D76" s="174">
        <v>24</v>
      </c>
      <c r="E76" s="147">
        <v>5009.33</v>
      </c>
      <c r="F76" s="244">
        <v>5900089472154</v>
      </c>
    </row>
    <row r="77" spans="1:6" s="142" customFormat="1" ht="11.25" x14ac:dyDescent="0.2">
      <c r="A77" s="143">
        <v>1290120</v>
      </c>
      <c r="B77" s="173" t="s">
        <v>373</v>
      </c>
      <c r="C77" s="174" t="s">
        <v>293</v>
      </c>
      <c r="D77" s="174">
        <v>24</v>
      </c>
      <c r="E77" s="147">
        <v>5432.87</v>
      </c>
      <c r="F77" s="248">
        <v>4640013270265</v>
      </c>
    </row>
    <row r="78" spans="1:6" s="142" customFormat="1" ht="11.25" x14ac:dyDescent="0.2">
      <c r="A78" s="143">
        <v>1290131</v>
      </c>
      <c r="B78" s="173" t="s">
        <v>374</v>
      </c>
      <c r="C78" s="174" t="s">
        <v>293</v>
      </c>
      <c r="D78" s="174">
        <v>24</v>
      </c>
      <c r="E78" s="147">
        <v>5976.15</v>
      </c>
      <c r="F78" s="248">
        <v>4640013270272</v>
      </c>
    </row>
    <row r="79" spans="1:6" s="142" customFormat="1" ht="11.25" x14ac:dyDescent="0.2">
      <c r="A79" s="143">
        <v>1290132</v>
      </c>
      <c r="B79" s="173" t="s">
        <v>375</v>
      </c>
      <c r="C79" s="174" t="s">
        <v>293</v>
      </c>
      <c r="D79" s="174">
        <v>24</v>
      </c>
      <c r="E79" s="147">
        <v>6791.11</v>
      </c>
      <c r="F79" s="248">
        <v>4640013270289</v>
      </c>
    </row>
    <row r="80" spans="1:6" s="142" customFormat="1" ht="11.25" x14ac:dyDescent="0.2">
      <c r="A80" s="143">
        <v>1290133</v>
      </c>
      <c r="B80" s="173" t="s">
        <v>376</v>
      </c>
      <c r="C80" s="174" t="s">
        <v>293</v>
      </c>
      <c r="D80" s="174">
        <v>24</v>
      </c>
      <c r="E80" s="147">
        <v>8149.32</v>
      </c>
      <c r="F80" s="248">
        <v>4640013270296</v>
      </c>
    </row>
    <row r="81" spans="1:6" s="142" customFormat="1" ht="12.75" customHeight="1" x14ac:dyDescent="0.2">
      <c r="A81" s="143">
        <v>1290135</v>
      </c>
      <c r="B81" s="173" t="s">
        <v>377</v>
      </c>
      <c r="C81" s="174" t="s">
        <v>293</v>
      </c>
      <c r="D81" s="174">
        <v>24</v>
      </c>
      <c r="E81" s="147">
        <v>9344.5499999999993</v>
      </c>
      <c r="F81" s="248">
        <v>4640013270302</v>
      </c>
    </row>
    <row r="82" spans="1:6" s="142" customFormat="1" ht="12.75" x14ac:dyDescent="0.2">
      <c r="A82" s="171" t="s">
        <v>378</v>
      </c>
      <c r="B82" s="167"/>
      <c r="C82" s="167"/>
      <c r="D82" s="167"/>
      <c r="E82" s="172"/>
      <c r="F82" s="242"/>
    </row>
    <row r="83" spans="1:6" s="142" customFormat="1" ht="11.25" x14ac:dyDescent="0.2">
      <c r="A83" s="143">
        <v>1883036</v>
      </c>
      <c r="B83" s="173" t="s">
        <v>379</v>
      </c>
      <c r="C83" s="174" t="s">
        <v>293</v>
      </c>
      <c r="D83" s="174">
        <v>24</v>
      </c>
      <c r="E83" s="147">
        <v>4675.2700000000004</v>
      </c>
      <c r="F83" s="244">
        <v>5900089472253</v>
      </c>
    </row>
    <row r="84" spans="1:6" s="142" customFormat="1" ht="11.25" x14ac:dyDescent="0.2">
      <c r="A84" s="143">
        <v>1290137</v>
      </c>
      <c r="B84" s="173" t="s">
        <v>380</v>
      </c>
      <c r="C84" s="174" t="s">
        <v>293</v>
      </c>
      <c r="D84" s="174">
        <v>24</v>
      </c>
      <c r="E84" s="147">
        <v>5621.49</v>
      </c>
      <c r="F84" s="248">
        <v>4640013270319</v>
      </c>
    </row>
    <row r="85" spans="1:6" s="142" customFormat="1" ht="11.25" x14ac:dyDescent="0.2">
      <c r="A85" s="143">
        <v>1290139</v>
      </c>
      <c r="B85" s="173" t="s">
        <v>381</v>
      </c>
      <c r="C85" s="174" t="s">
        <v>293</v>
      </c>
      <c r="D85" s="174">
        <v>24</v>
      </c>
      <c r="E85" s="147">
        <v>6183.62</v>
      </c>
      <c r="F85" s="248">
        <v>4640013270326</v>
      </c>
    </row>
    <row r="86" spans="1:6" s="142" customFormat="1" ht="11.25" x14ac:dyDescent="0.2">
      <c r="A86" s="143">
        <v>1290140</v>
      </c>
      <c r="B86" s="173" t="s">
        <v>382</v>
      </c>
      <c r="C86" s="174" t="s">
        <v>293</v>
      </c>
      <c r="D86" s="174">
        <v>24</v>
      </c>
      <c r="E86" s="147">
        <v>7026.87</v>
      </c>
      <c r="F86" s="248">
        <v>4640013270333</v>
      </c>
    </row>
    <row r="87" spans="1:6" s="142" customFormat="1" ht="11.25" x14ac:dyDescent="0.2">
      <c r="A87" s="143">
        <v>1290142</v>
      </c>
      <c r="B87" s="173" t="s">
        <v>383</v>
      </c>
      <c r="C87" s="174" t="s">
        <v>293</v>
      </c>
      <c r="D87" s="174">
        <v>24</v>
      </c>
      <c r="E87" s="147">
        <v>8432.2099999999991</v>
      </c>
      <c r="F87" s="248">
        <v>4640013270340</v>
      </c>
    </row>
    <row r="88" spans="1:6" s="142" customFormat="1" ht="12.75" customHeight="1" x14ac:dyDescent="0.2">
      <c r="A88" s="143">
        <v>1290144</v>
      </c>
      <c r="B88" s="173" t="s">
        <v>384</v>
      </c>
      <c r="C88" s="174" t="s">
        <v>293</v>
      </c>
      <c r="D88" s="174">
        <v>24</v>
      </c>
      <c r="E88" s="147">
        <v>9668.9500000000007</v>
      </c>
      <c r="F88" s="248">
        <v>4640013270357</v>
      </c>
    </row>
    <row r="89" spans="1:6" s="142" customFormat="1" ht="12.75" x14ac:dyDescent="0.2">
      <c r="A89" s="171" t="s">
        <v>385</v>
      </c>
      <c r="B89" s="167"/>
      <c r="C89" s="167"/>
      <c r="D89" s="167"/>
      <c r="E89" s="172"/>
      <c r="F89" s="242"/>
    </row>
    <row r="90" spans="1:6" s="142" customFormat="1" ht="11.25" x14ac:dyDescent="0.2">
      <c r="A90" s="143">
        <v>1882859</v>
      </c>
      <c r="B90" s="173" t="s">
        <v>386</v>
      </c>
      <c r="C90" s="174" t="s">
        <v>293</v>
      </c>
      <c r="D90" s="174">
        <v>24</v>
      </c>
      <c r="E90" s="147">
        <v>4815.43</v>
      </c>
      <c r="F90" s="242" t="s">
        <v>387</v>
      </c>
    </row>
    <row r="91" spans="1:6" s="142" customFormat="1" ht="11.25" x14ac:dyDescent="0.2">
      <c r="A91" s="143">
        <v>1290136</v>
      </c>
      <c r="B91" s="173" t="s">
        <v>388</v>
      </c>
      <c r="C91" s="174" t="s">
        <v>293</v>
      </c>
      <c r="D91" s="174">
        <v>24</v>
      </c>
      <c r="E91" s="147">
        <v>5216.99</v>
      </c>
      <c r="F91" s="248">
        <v>4640013270364</v>
      </c>
    </row>
    <row r="92" spans="1:6" s="142" customFormat="1" ht="11.25" x14ac:dyDescent="0.2">
      <c r="A92" s="143">
        <v>1290138</v>
      </c>
      <c r="B92" s="173" t="s">
        <v>389</v>
      </c>
      <c r="C92" s="174" t="s">
        <v>293</v>
      </c>
      <c r="D92" s="174">
        <v>24</v>
      </c>
      <c r="E92" s="147">
        <v>5738.67</v>
      </c>
      <c r="F92" s="248">
        <v>4640013270371</v>
      </c>
    </row>
    <row r="93" spans="1:6" s="142" customFormat="1" ht="11.25" x14ac:dyDescent="0.2">
      <c r="A93" s="143">
        <v>1290141</v>
      </c>
      <c r="B93" s="173" t="s">
        <v>390</v>
      </c>
      <c r="C93" s="174" t="s">
        <v>293</v>
      </c>
      <c r="D93" s="174">
        <v>24</v>
      </c>
      <c r="E93" s="147">
        <v>6521.2</v>
      </c>
      <c r="F93" s="248">
        <v>4640013270388</v>
      </c>
    </row>
    <row r="94" spans="1:6" s="142" customFormat="1" ht="11.25" x14ac:dyDescent="0.2">
      <c r="A94" s="143">
        <v>1290143</v>
      </c>
      <c r="B94" s="173" t="s">
        <v>391</v>
      </c>
      <c r="C94" s="174" t="s">
        <v>293</v>
      </c>
      <c r="D94" s="174">
        <v>24</v>
      </c>
      <c r="E94" s="147">
        <v>7825.43</v>
      </c>
      <c r="F94" s="248">
        <v>4640013270395</v>
      </c>
    </row>
    <row r="95" spans="1:6" s="142" customFormat="1" ht="12.75" customHeight="1" x14ac:dyDescent="0.2">
      <c r="A95" s="143">
        <v>1290145</v>
      </c>
      <c r="B95" s="173" t="s">
        <v>392</v>
      </c>
      <c r="C95" s="174" t="s">
        <v>293</v>
      </c>
      <c r="D95" s="174">
        <v>24</v>
      </c>
      <c r="E95" s="147">
        <v>8973.19</v>
      </c>
      <c r="F95" s="248">
        <v>4640013270401</v>
      </c>
    </row>
    <row r="96" spans="1:6" s="142" customFormat="1" ht="12.75" x14ac:dyDescent="0.2">
      <c r="A96" s="171" t="s">
        <v>393</v>
      </c>
      <c r="B96" s="167"/>
      <c r="C96" s="167"/>
      <c r="D96" s="167"/>
      <c r="E96" s="172"/>
      <c r="F96" s="242"/>
    </row>
    <row r="97" spans="1:6" s="142" customFormat="1" ht="11.25" x14ac:dyDescent="0.2">
      <c r="A97" s="143">
        <v>1882847</v>
      </c>
      <c r="B97" s="173" t="s">
        <v>394</v>
      </c>
      <c r="C97" s="174" t="s">
        <v>293</v>
      </c>
      <c r="D97" s="174">
        <v>24</v>
      </c>
      <c r="E97" s="147">
        <v>5603.85</v>
      </c>
      <c r="F97" s="244">
        <v>5900089474158</v>
      </c>
    </row>
    <row r="98" spans="1:6" s="142" customFormat="1" ht="11.25" x14ac:dyDescent="0.2">
      <c r="A98" s="143">
        <v>1290149</v>
      </c>
      <c r="B98" s="173" t="s">
        <v>395</v>
      </c>
      <c r="C98" s="174" t="s">
        <v>293</v>
      </c>
      <c r="D98" s="174">
        <v>24</v>
      </c>
      <c r="E98" s="147">
        <v>6024.03</v>
      </c>
      <c r="F98" s="248">
        <v>4640013270463</v>
      </c>
    </row>
    <row r="99" spans="1:6" s="142" customFormat="1" ht="11.25" x14ac:dyDescent="0.2">
      <c r="A99" s="143">
        <v>1290151</v>
      </c>
      <c r="B99" s="173" t="s">
        <v>396</v>
      </c>
      <c r="C99" s="174" t="s">
        <v>293</v>
      </c>
      <c r="D99" s="174">
        <v>24</v>
      </c>
      <c r="E99" s="147">
        <v>6626.42</v>
      </c>
      <c r="F99" s="248">
        <v>4640013270470</v>
      </c>
    </row>
    <row r="100" spans="1:6" s="142" customFormat="1" ht="11.25" x14ac:dyDescent="0.2">
      <c r="A100" s="143">
        <v>1290152</v>
      </c>
      <c r="B100" s="173" t="s">
        <v>397</v>
      </c>
      <c r="C100" s="174" t="s">
        <v>293</v>
      </c>
      <c r="D100" s="174">
        <v>24</v>
      </c>
      <c r="E100" s="147">
        <v>7530.04</v>
      </c>
      <c r="F100" s="248">
        <v>4640013270487</v>
      </c>
    </row>
    <row r="101" spans="1:6" s="142" customFormat="1" ht="11.25" x14ac:dyDescent="0.2">
      <c r="A101" s="143">
        <v>1290153</v>
      </c>
      <c r="B101" s="173" t="s">
        <v>398</v>
      </c>
      <c r="C101" s="174" t="s">
        <v>293</v>
      </c>
      <c r="D101" s="174">
        <v>24</v>
      </c>
      <c r="E101" s="147">
        <v>9036.02</v>
      </c>
      <c r="F101" s="248">
        <v>4640013270494</v>
      </c>
    </row>
    <row r="102" spans="1:6" s="142" customFormat="1" ht="12.75" customHeight="1" x14ac:dyDescent="0.2">
      <c r="A102" s="143">
        <v>1290154</v>
      </c>
      <c r="B102" s="173" t="s">
        <v>399</v>
      </c>
      <c r="C102" s="174" t="s">
        <v>293</v>
      </c>
      <c r="D102" s="174">
        <v>24</v>
      </c>
      <c r="E102" s="147">
        <v>10361.33</v>
      </c>
      <c r="F102" s="248">
        <v>4640013270500</v>
      </c>
    </row>
    <row r="103" spans="1:6" s="142" customFormat="1" ht="12.75" x14ac:dyDescent="0.2">
      <c r="A103" s="171" t="s">
        <v>400</v>
      </c>
      <c r="B103" s="167"/>
      <c r="C103" s="167"/>
      <c r="D103" s="167"/>
      <c r="E103" s="172"/>
      <c r="F103" s="242"/>
    </row>
    <row r="104" spans="1:6" s="142" customFormat="1" ht="11.25" x14ac:dyDescent="0.2">
      <c r="A104" s="143">
        <v>1882851</v>
      </c>
      <c r="B104" s="173" t="s">
        <v>401</v>
      </c>
      <c r="C104" s="174" t="s">
        <v>293</v>
      </c>
      <c r="D104" s="174">
        <v>24</v>
      </c>
      <c r="E104" s="147">
        <v>5274.14</v>
      </c>
      <c r="F104" s="244">
        <v>5900089474257</v>
      </c>
    </row>
    <row r="105" spans="1:6" s="142" customFormat="1" ht="11.25" x14ac:dyDescent="0.2">
      <c r="A105" s="143">
        <v>1290446</v>
      </c>
      <c r="B105" s="173" t="s">
        <v>402</v>
      </c>
      <c r="C105" s="174" t="s">
        <v>293</v>
      </c>
      <c r="D105" s="174">
        <v>24</v>
      </c>
      <c r="E105" s="147">
        <v>5686.24</v>
      </c>
      <c r="F105" s="248">
        <v>4640013270418</v>
      </c>
    </row>
    <row r="106" spans="1:6" s="142" customFormat="1" ht="11.25" x14ac:dyDescent="0.2">
      <c r="A106" s="143">
        <v>1290447</v>
      </c>
      <c r="B106" s="173" t="s">
        <v>403</v>
      </c>
      <c r="C106" s="174" t="s">
        <v>293</v>
      </c>
      <c r="D106" s="174">
        <v>24</v>
      </c>
      <c r="E106" s="147">
        <v>6254.85</v>
      </c>
      <c r="F106" s="248">
        <v>4640013270425</v>
      </c>
    </row>
    <row r="107" spans="1:6" s="142" customFormat="1" ht="11.25" x14ac:dyDescent="0.2">
      <c r="A107" s="143">
        <v>1290468</v>
      </c>
      <c r="B107" s="173" t="s">
        <v>404</v>
      </c>
      <c r="C107" s="174" t="s">
        <v>293</v>
      </c>
      <c r="D107" s="174">
        <v>24</v>
      </c>
      <c r="E107" s="147">
        <v>7107.79</v>
      </c>
      <c r="F107" s="248">
        <v>4640013270432</v>
      </c>
    </row>
    <row r="108" spans="1:6" s="142" customFormat="1" ht="11.25" x14ac:dyDescent="0.2">
      <c r="A108" s="143">
        <v>1290498</v>
      </c>
      <c r="B108" s="173" t="s">
        <v>405</v>
      </c>
      <c r="C108" s="174" t="s">
        <v>293</v>
      </c>
      <c r="D108" s="174">
        <v>24</v>
      </c>
      <c r="E108" s="147">
        <v>8529.33</v>
      </c>
      <c r="F108" s="248">
        <v>4640013270449</v>
      </c>
    </row>
    <row r="109" spans="1:6" s="142" customFormat="1" ht="12.75" customHeight="1" x14ac:dyDescent="0.2">
      <c r="A109" s="143">
        <v>1290500</v>
      </c>
      <c r="B109" s="173" t="s">
        <v>406</v>
      </c>
      <c r="C109" s="174" t="s">
        <v>293</v>
      </c>
      <c r="D109" s="174">
        <v>24</v>
      </c>
      <c r="E109" s="147">
        <v>9780.32</v>
      </c>
      <c r="F109" s="248">
        <v>4640013270456</v>
      </c>
    </row>
    <row r="110" spans="1:6" s="142" customFormat="1" ht="12.75" x14ac:dyDescent="0.2">
      <c r="A110" s="171" t="s">
        <v>407</v>
      </c>
      <c r="B110" s="167"/>
      <c r="C110" s="167"/>
      <c r="D110" s="167"/>
      <c r="E110" s="172"/>
      <c r="F110" s="242"/>
    </row>
    <row r="111" spans="1:6" s="142" customFormat="1" ht="11.25" x14ac:dyDescent="0.2">
      <c r="A111" s="143">
        <v>1882861</v>
      </c>
      <c r="B111" s="173" t="s">
        <v>408</v>
      </c>
      <c r="C111" s="174" t="s">
        <v>293</v>
      </c>
      <c r="D111" s="174">
        <v>24</v>
      </c>
      <c r="E111" s="147">
        <v>5202.32</v>
      </c>
      <c r="F111" s="242" t="s">
        <v>409</v>
      </c>
    </row>
    <row r="112" spans="1:6" s="142" customFormat="1" ht="11.25" x14ac:dyDescent="0.2">
      <c r="A112" s="143">
        <v>1290531</v>
      </c>
      <c r="B112" s="173" t="s">
        <v>410</v>
      </c>
      <c r="C112" s="174" t="s">
        <v>293</v>
      </c>
      <c r="D112" s="174">
        <v>24</v>
      </c>
      <c r="E112" s="147">
        <v>5615.85</v>
      </c>
      <c r="F112" s="248">
        <v>4640013270517</v>
      </c>
    </row>
    <row r="113" spans="1:6" s="142" customFormat="1" ht="11.25" x14ac:dyDescent="0.2">
      <c r="A113" s="143">
        <v>1290532</v>
      </c>
      <c r="B113" s="173" t="s">
        <v>411</v>
      </c>
      <c r="C113" s="174" t="s">
        <v>293</v>
      </c>
      <c r="D113" s="174">
        <v>24</v>
      </c>
      <c r="E113" s="147">
        <v>6177.43</v>
      </c>
      <c r="F113" s="248">
        <v>4640013270524</v>
      </c>
    </row>
    <row r="114" spans="1:6" s="142" customFormat="1" ht="11.25" x14ac:dyDescent="0.2">
      <c r="A114" s="143">
        <v>1290554</v>
      </c>
      <c r="B114" s="173" t="s">
        <v>412</v>
      </c>
      <c r="C114" s="174" t="s">
        <v>293</v>
      </c>
      <c r="D114" s="174">
        <v>24</v>
      </c>
      <c r="E114" s="147">
        <v>7019.81</v>
      </c>
      <c r="F114" s="248">
        <v>4640013270531</v>
      </c>
    </row>
    <row r="115" spans="1:6" s="142" customFormat="1" ht="11.25" x14ac:dyDescent="0.2">
      <c r="A115" s="143">
        <v>1290533</v>
      </c>
      <c r="B115" s="173" t="s">
        <v>413</v>
      </c>
      <c r="C115" s="174" t="s">
        <v>293</v>
      </c>
      <c r="D115" s="174">
        <v>24</v>
      </c>
      <c r="E115" s="147">
        <v>8423.77</v>
      </c>
      <c r="F115" s="248">
        <v>4640013270548</v>
      </c>
    </row>
    <row r="116" spans="1:6" s="142" customFormat="1" ht="12.75" customHeight="1" x14ac:dyDescent="0.2">
      <c r="A116" s="143">
        <v>1290534</v>
      </c>
      <c r="B116" s="173" t="s">
        <v>414</v>
      </c>
      <c r="C116" s="174" t="s">
        <v>293</v>
      </c>
      <c r="D116" s="174">
        <v>24</v>
      </c>
      <c r="E116" s="147">
        <v>9659.26</v>
      </c>
      <c r="F116" s="248">
        <v>4640013270555</v>
      </c>
    </row>
    <row r="117" spans="1:6" s="142" customFormat="1" ht="12.75" x14ac:dyDescent="0.2">
      <c r="A117" s="171" t="s">
        <v>415</v>
      </c>
      <c r="B117" s="167"/>
      <c r="C117" s="167"/>
      <c r="D117" s="167"/>
      <c r="E117" s="172"/>
      <c r="F117" s="242"/>
    </row>
    <row r="118" spans="1:6" s="154" customFormat="1" ht="11.25" x14ac:dyDescent="0.2">
      <c r="A118" s="168">
        <v>1318410</v>
      </c>
      <c r="B118" s="169" t="s">
        <v>416</v>
      </c>
      <c r="C118" s="170" t="s">
        <v>293</v>
      </c>
      <c r="D118" s="170">
        <v>24</v>
      </c>
      <c r="E118" s="147">
        <v>2512.67</v>
      </c>
      <c r="F118" s="247" t="s">
        <v>417</v>
      </c>
    </row>
    <row r="119" spans="1:6" s="142" customFormat="1" ht="11.25" x14ac:dyDescent="0.2">
      <c r="A119" s="143">
        <v>1290075</v>
      </c>
      <c r="B119" s="173" t="s">
        <v>418</v>
      </c>
      <c r="C119" s="174" t="s">
        <v>293</v>
      </c>
      <c r="D119" s="174">
        <v>24</v>
      </c>
      <c r="E119" s="147">
        <v>3208.74</v>
      </c>
      <c r="F119" s="244">
        <v>4607144528344</v>
      </c>
    </row>
    <row r="120" spans="1:6" s="142" customFormat="1" ht="11.25" x14ac:dyDescent="0.2">
      <c r="A120" s="143">
        <v>1290077</v>
      </c>
      <c r="B120" s="173" t="s">
        <v>419</v>
      </c>
      <c r="C120" s="174" t="s">
        <v>293</v>
      </c>
      <c r="D120" s="174">
        <v>24</v>
      </c>
      <c r="E120" s="147">
        <v>3387.01</v>
      </c>
      <c r="F120" s="244">
        <v>4607144528351</v>
      </c>
    </row>
    <row r="121" spans="1:6" s="142" customFormat="1" ht="11.25" x14ac:dyDescent="0.2">
      <c r="A121" s="143">
        <v>1290080</v>
      </c>
      <c r="B121" s="173" t="s">
        <v>420</v>
      </c>
      <c r="C121" s="174" t="s">
        <v>293</v>
      </c>
      <c r="D121" s="174">
        <v>24</v>
      </c>
      <c r="E121" s="147">
        <v>3565.27</v>
      </c>
      <c r="F121" s="244">
        <v>4607144528368</v>
      </c>
    </row>
    <row r="122" spans="1:6" s="142" customFormat="1" ht="11.25" x14ac:dyDescent="0.2">
      <c r="A122" s="143">
        <v>1290102</v>
      </c>
      <c r="B122" s="173" t="s">
        <v>421</v>
      </c>
      <c r="C122" s="174" t="s">
        <v>293</v>
      </c>
      <c r="D122" s="174">
        <v>24</v>
      </c>
      <c r="E122" s="147">
        <v>4278.33</v>
      </c>
      <c r="F122" s="244">
        <v>4607144528375</v>
      </c>
    </row>
    <row r="123" spans="1:6" s="142" customFormat="1" ht="12.75" customHeight="1" x14ac:dyDescent="0.2">
      <c r="A123" s="143">
        <v>1290113</v>
      </c>
      <c r="B123" s="173" t="s">
        <v>422</v>
      </c>
      <c r="C123" s="174" t="s">
        <v>293</v>
      </c>
      <c r="D123" s="174">
        <v>24</v>
      </c>
      <c r="E123" s="147">
        <v>4905.83</v>
      </c>
      <c r="F123" s="244">
        <v>4607144528382</v>
      </c>
    </row>
    <row r="124" spans="1:6" s="142" customFormat="1" ht="12.75" x14ac:dyDescent="0.2">
      <c r="A124" s="171" t="s">
        <v>423</v>
      </c>
      <c r="B124" s="167"/>
      <c r="C124" s="167"/>
      <c r="D124" s="167"/>
      <c r="E124" s="172"/>
      <c r="F124" s="242"/>
    </row>
    <row r="125" spans="1:6" s="154" customFormat="1" ht="11.25" x14ac:dyDescent="0.2">
      <c r="A125" s="168">
        <v>1318409</v>
      </c>
      <c r="B125" s="169" t="s">
        <v>424</v>
      </c>
      <c r="C125" s="170" t="s">
        <v>293</v>
      </c>
      <c r="D125" s="170">
        <v>24</v>
      </c>
      <c r="E125" s="147">
        <v>2261.35</v>
      </c>
      <c r="F125" s="247" t="s">
        <v>425</v>
      </c>
    </row>
    <row r="126" spans="1:6" s="142" customFormat="1" ht="11.25" x14ac:dyDescent="0.2">
      <c r="A126" s="143">
        <v>1290114</v>
      </c>
      <c r="B126" s="173" t="s">
        <v>426</v>
      </c>
      <c r="C126" s="174" t="s">
        <v>293</v>
      </c>
      <c r="D126" s="174">
        <v>24</v>
      </c>
      <c r="E126" s="147">
        <v>2953.74</v>
      </c>
      <c r="F126" s="244">
        <v>4607144528399</v>
      </c>
    </row>
    <row r="127" spans="1:6" s="142" customFormat="1" ht="11.25" x14ac:dyDescent="0.2">
      <c r="A127" s="143">
        <v>1290115</v>
      </c>
      <c r="B127" s="173" t="s">
        <v>427</v>
      </c>
      <c r="C127" s="174" t="s">
        <v>293</v>
      </c>
      <c r="D127" s="174">
        <v>24</v>
      </c>
      <c r="E127" s="147">
        <v>3083.57</v>
      </c>
      <c r="F127" s="244">
        <v>4607144528405</v>
      </c>
    </row>
    <row r="128" spans="1:6" s="142" customFormat="1" ht="11.25" x14ac:dyDescent="0.2">
      <c r="A128" s="143">
        <v>1290116</v>
      </c>
      <c r="B128" s="173" t="s">
        <v>428</v>
      </c>
      <c r="C128" s="174" t="s">
        <v>293</v>
      </c>
      <c r="D128" s="174">
        <v>24</v>
      </c>
      <c r="E128" s="147">
        <v>3245.86</v>
      </c>
      <c r="F128" s="244">
        <v>4607144528412</v>
      </c>
    </row>
    <row r="129" spans="1:8" s="142" customFormat="1" ht="11.25" x14ac:dyDescent="0.2">
      <c r="A129" s="143">
        <v>1290117</v>
      </c>
      <c r="B129" s="173" t="s">
        <v>429</v>
      </c>
      <c r="C129" s="174" t="s">
        <v>293</v>
      </c>
      <c r="D129" s="174">
        <v>24</v>
      </c>
      <c r="E129" s="147">
        <v>3895.05</v>
      </c>
      <c r="F129" s="244">
        <v>4607144528429</v>
      </c>
    </row>
    <row r="130" spans="1:8" s="142" customFormat="1" ht="11.25" x14ac:dyDescent="0.2">
      <c r="A130" s="143">
        <v>1290134</v>
      </c>
      <c r="B130" s="173" t="s">
        <v>430</v>
      </c>
      <c r="C130" s="174" t="s">
        <v>293</v>
      </c>
      <c r="D130" s="174">
        <v>24</v>
      </c>
      <c r="E130" s="147">
        <v>4466.3100000000004</v>
      </c>
      <c r="F130" s="244">
        <v>4607144528436</v>
      </c>
    </row>
    <row r="131" spans="1:8" x14ac:dyDescent="0.25">
      <c r="A131" s="171" t="s">
        <v>431</v>
      </c>
      <c r="B131" s="167"/>
      <c r="C131" s="167"/>
      <c r="D131" s="167"/>
      <c r="E131" s="172"/>
      <c r="F131" s="242"/>
      <c r="H131"/>
    </row>
    <row r="132" spans="1:8" s="154" customFormat="1" ht="11.25" x14ac:dyDescent="0.2">
      <c r="A132" s="168">
        <v>1318441</v>
      </c>
      <c r="B132" s="169" t="s">
        <v>432</v>
      </c>
      <c r="C132" s="170" t="s">
        <v>293</v>
      </c>
      <c r="D132" s="170">
        <v>24</v>
      </c>
      <c r="E132" s="147">
        <v>2387.0500000000002</v>
      </c>
      <c r="F132" s="247" t="s">
        <v>433</v>
      </c>
    </row>
    <row r="133" spans="1:8" s="154" customFormat="1" ht="11.25" x14ac:dyDescent="0.2">
      <c r="A133" s="168">
        <v>1290078</v>
      </c>
      <c r="B133" s="169" t="s">
        <v>434</v>
      </c>
      <c r="C133" s="170" t="s">
        <v>293</v>
      </c>
      <c r="D133" s="170">
        <v>24</v>
      </c>
      <c r="E133" s="147">
        <v>3061.32</v>
      </c>
      <c r="F133" s="247">
        <v>4607144528443</v>
      </c>
    </row>
    <row r="134" spans="1:8" s="154" customFormat="1" ht="11.25" x14ac:dyDescent="0.2">
      <c r="A134" s="168">
        <v>1290079</v>
      </c>
      <c r="B134" s="169" t="s">
        <v>435</v>
      </c>
      <c r="C134" s="170" t="s">
        <v>293</v>
      </c>
      <c r="D134" s="170">
        <v>24</v>
      </c>
      <c r="E134" s="147">
        <v>3197.38</v>
      </c>
      <c r="F134" s="247">
        <v>4607144528450</v>
      </c>
    </row>
    <row r="135" spans="1:8" s="154" customFormat="1" ht="11.25" x14ac:dyDescent="0.2">
      <c r="A135" s="168">
        <v>1290101</v>
      </c>
      <c r="B135" s="169" t="s">
        <v>436</v>
      </c>
      <c r="C135" s="170" t="s">
        <v>293</v>
      </c>
      <c r="D135" s="170">
        <v>24</v>
      </c>
      <c r="E135" s="147">
        <v>3401.48</v>
      </c>
      <c r="F135" s="247">
        <v>4607144528467</v>
      </c>
    </row>
    <row r="136" spans="1:8" s="154" customFormat="1" ht="11.25" x14ac:dyDescent="0.2">
      <c r="A136" s="168">
        <v>1290118</v>
      </c>
      <c r="B136" s="169" t="s">
        <v>437</v>
      </c>
      <c r="C136" s="170" t="s">
        <v>293</v>
      </c>
      <c r="D136" s="170">
        <v>24</v>
      </c>
      <c r="E136" s="147">
        <v>4081.77</v>
      </c>
      <c r="F136" s="247">
        <v>4607144528474</v>
      </c>
    </row>
    <row r="137" spans="1:8" s="154" customFormat="1" ht="11.25" x14ac:dyDescent="0.2">
      <c r="A137" s="168">
        <v>1290119</v>
      </c>
      <c r="B137" s="169" t="s">
        <v>438</v>
      </c>
      <c r="C137" s="170" t="s">
        <v>293</v>
      </c>
      <c r="D137" s="170">
        <v>24</v>
      </c>
      <c r="E137" s="147">
        <v>4680.45</v>
      </c>
      <c r="F137" s="247">
        <v>4607144528481</v>
      </c>
    </row>
    <row r="138" spans="1:8" s="130" customFormat="1" ht="12.75" customHeight="1" x14ac:dyDescent="0.2">
      <c r="A138" s="175" t="s">
        <v>439</v>
      </c>
      <c r="B138" s="175"/>
      <c r="C138" s="175"/>
      <c r="D138" s="175"/>
      <c r="E138" s="176"/>
      <c r="F138" s="242"/>
    </row>
    <row r="139" spans="1:8" s="130" customFormat="1" ht="12.75" x14ac:dyDescent="0.2">
      <c r="A139" s="177">
        <v>1955029</v>
      </c>
      <c r="B139" s="178" t="s">
        <v>440</v>
      </c>
      <c r="C139" s="179" t="s">
        <v>293</v>
      </c>
      <c r="D139" s="179">
        <v>24</v>
      </c>
      <c r="E139" s="147">
        <v>4131.8900000000003</v>
      </c>
      <c r="F139" s="247" t="s">
        <v>441</v>
      </c>
    </row>
    <row r="140" spans="1:8" s="130" customFormat="1" ht="12.75" x14ac:dyDescent="0.2">
      <c r="A140" s="177">
        <v>1955009</v>
      </c>
      <c r="B140" s="178" t="s">
        <v>442</v>
      </c>
      <c r="C140" s="179" t="s">
        <v>293</v>
      </c>
      <c r="D140" s="179">
        <v>24</v>
      </c>
      <c r="E140" s="147">
        <v>4131.8900000000003</v>
      </c>
      <c r="F140" s="247" t="s">
        <v>443</v>
      </c>
    </row>
    <row r="141" spans="1:8" s="130" customFormat="1" ht="12.75" x14ac:dyDescent="0.2">
      <c r="A141" s="177" t="s">
        <v>444</v>
      </c>
      <c r="B141" s="178" t="s">
        <v>445</v>
      </c>
      <c r="C141" s="179" t="s">
        <v>293</v>
      </c>
      <c r="D141" s="179">
        <v>24</v>
      </c>
      <c r="E141" s="147">
        <v>4131.8900000000003</v>
      </c>
      <c r="F141" s="247" t="s">
        <v>446</v>
      </c>
    </row>
    <row r="142" spans="1:8" s="181" customFormat="1" ht="12.75" x14ac:dyDescent="0.2">
      <c r="A142" s="177">
        <v>1955283</v>
      </c>
      <c r="B142" s="178" t="s">
        <v>447</v>
      </c>
      <c r="C142" s="180" t="s">
        <v>293</v>
      </c>
      <c r="D142" s="180">
        <v>24</v>
      </c>
      <c r="E142" s="147">
        <v>4131.8900000000003</v>
      </c>
      <c r="F142" s="247" t="s">
        <v>448</v>
      </c>
    </row>
    <row r="143" spans="1:8" s="181" customFormat="1" ht="12.75" x14ac:dyDescent="0.2">
      <c r="A143" s="177">
        <v>1955268</v>
      </c>
      <c r="B143" s="178" t="s">
        <v>449</v>
      </c>
      <c r="C143" s="180" t="s">
        <v>293</v>
      </c>
      <c r="D143" s="180">
        <v>24</v>
      </c>
      <c r="E143" s="147">
        <v>4131.8900000000003</v>
      </c>
      <c r="F143" s="247" t="s">
        <v>450</v>
      </c>
    </row>
    <row r="144" spans="1:8" s="130" customFormat="1" ht="12.75" x14ac:dyDescent="0.2">
      <c r="A144" s="177">
        <v>1955267</v>
      </c>
      <c r="B144" s="178" t="s">
        <v>451</v>
      </c>
      <c r="C144" s="179" t="s">
        <v>293</v>
      </c>
      <c r="D144" s="179">
        <v>24</v>
      </c>
      <c r="E144" s="147">
        <v>4131.8900000000003</v>
      </c>
      <c r="F144" s="247" t="s">
        <v>452</v>
      </c>
    </row>
    <row r="145" spans="1:6" s="181" customFormat="1" ht="12.75" x14ac:dyDescent="0.2">
      <c r="A145" s="177">
        <v>1955473</v>
      </c>
      <c r="B145" s="178" t="s">
        <v>453</v>
      </c>
      <c r="C145" s="180" t="s">
        <v>293</v>
      </c>
      <c r="D145" s="180">
        <v>24</v>
      </c>
      <c r="E145" s="147">
        <v>4131.8900000000003</v>
      </c>
      <c r="F145" s="247" t="s">
        <v>454</v>
      </c>
    </row>
    <row r="146" spans="1:6" s="130" customFormat="1" ht="12.75" x14ac:dyDescent="0.2">
      <c r="A146" s="177">
        <v>1955472</v>
      </c>
      <c r="B146" s="178" t="s">
        <v>455</v>
      </c>
      <c r="C146" s="179" t="s">
        <v>293</v>
      </c>
      <c r="D146" s="179">
        <v>24</v>
      </c>
      <c r="E146" s="147">
        <v>4131.8900000000003</v>
      </c>
      <c r="F146" s="247" t="s">
        <v>456</v>
      </c>
    </row>
    <row r="147" spans="1:6" s="181" customFormat="1" ht="12.75" x14ac:dyDescent="0.2">
      <c r="A147" s="177">
        <v>1955459</v>
      </c>
      <c r="B147" s="178" t="s">
        <v>457</v>
      </c>
      <c r="C147" s="180" t="s">
        <v>293</v>
      </c>
      <c r="D147" s="180">
        <v>24</v>
      </c>
      <c r="E147" s="147">
        <v>4131.8900000000003</v>
      </c>
      <c r="F147" s="247" t="s">
        <v>458</v>
      </c>
    </row>
    <row r="148" spans="1:6" s="181" customFormat="1" ht="12.75" x14ac:dyDescent="0.2">
      <c r="A148" s="177">
        <v>1955457</v>
      </c>
      <c r="B148" s="178" t="s">
        <v>459</v>
      </c>
      <c r="C148" s="180" t="s">
        <v>293</v>
      </c>
      <c r="D148" s="180">
        <v>24</v>
      </c>
      <c r="E148" s="147">
        <v>4131.8900000000003</v>
      </c>
      <c r="F148" s="247" t="s">
        <v>460</v>
      </c>
    </row>
    <row r="149" spans="1:6" s="181" customFormat="1" ht="12.75" x14ac:dyDescent="0.2">
      <c r="A149" s="177">
        <v>1955456</v>
      </c>
      <c r="B149" s="178" t="s">
        <v>461</v>
      </c>
      <c r="C149" s="180" t="s">
        <v>293</v>
      </c>
      <c r="D149" s="180">
        <v>24</v>
      </c>
      <c r="E149" s="147">
        <v>4131.8900000000003</v>
      </c>
      <c r="F149" s="247" t="s">
        <v>462</v>
      </c>
    </row>
    <row r="150" spans="1:6" s="181" customFormat="1" ht="12.75" x14ac:dyDescent="0.2">
      <c r="A150" s="177">
        <v>1955455</v>
      </c>
      <c r="B150" s="178" t="s">
        <v>463</v>
      </c>
      <c r="C150" s="180" t="s">
        <v>293</v>
      </c>
      <c r="D150" s="180">
        <v>24</v>
      </c>
      <c r="E150" s="147">
        <v>4131.8900000000003</v>
      </c>
      <c r="F150" s="247" t="s">
        <v>464</v>
      </c>
    </row>
    <row r="151" spans="1:6" s="130" customFormat="1" ht="12.75" x14ac:dyDescent="0.2">
      <c r="A151" s="177">
        <v>1955454</v>
      </c>
      <c r="B151" s="178" t="s">
        <v>465</v>
      </c>
      <c r="C151" s="179" t="s">
        <v>293</v>
      </c>
      <c r="D151" s="179">
        <v>24</v>
      </c>
      <c r="E151" s="147">
        <v>4131.8900000000003</v>
      </c>
      <c r="F151" s="247" t="s">
        <v>466</v>
      </c>
    </row>
    <row r="152" spans="1:6" s="130" customFormat="1" ht="12.75" customHeight="1" x14ac:dyDescent="0.2">
      <c r="A152" s="175" t="s">
        <v>467</v>
      </c>
      <c r="B152" s="175"/>
      <c r="C152" s="175"/>
      <c r="D152" s="175"/>
      <c r="E152" s="176"/>
      <c r="F152" s="242"/>
    </row>
    <row r="153" spans="1:6" s="130" customFormat="1" ht="12.75" x14ac:dyDescent="0.2">
      <c r="A153" s="177">
        <v>1483275</v>
      </c>
      <c r="B153" s="178" t="s">
        <v>468</v>
      </c>
      <c r="C153" s="179" t="s">
        <v>293</v>
      </c>
      <c r="D153" s="179">
        <v>24</v>
      </c>
      <c r="E153" s="147">
        <v>4131.8900000000003</v>
      </c>
      <c r="F153" s="242" t="s">
        <v>469</v>
      </c>
    </row>
    <row r="154" spans="1:6" s="130" customFormat="1" ht="12.75" x14ac:dyDescent="0.2">
      <c r="A154" s="177">
        <v>1501115</v>
      </c>
      <c r="B154" s="178" t="s">
        <v>470</v>
      </c>
      <c r="C154" s="179" t="s">
        <v>293</v>
      </c>
      <c r="D154" s="179">
        <v>24</v>
      </c>
      <c r="E154" s="147">
        <v>4131.8900000000003</v>
      </c>
      <c r="F154" s="242" t="s">
        <v>471</v>
      </c>
    </row>
    <row r="155" spans="1:6" s="130" customFormat="1" ht="12.75" x14ac:dyDescent="0.2">
      <c r="A155" s="177">
        <v>1501085</v>
      </c>
      <c r="B155" s="178" t="s">
        <v>472</v>
      </c>
      <c r="C155" s="179" t="s">
        <v>293</v>
      </c>
      <c r="D155" s="179">
        <v>24</v>
      </c>
      <c r="E155" s="147">
        <v>4131.8900000000003</v>
      </c>
      <c r="F155" s="242" t="s">
        <v>473</v>
      </c>
    </row>
    <row r="156" spans="1:6" s="181" customFormat="1" ht="12.75" x14ac:dyDescent="0.2">
      <c r="A156" s="177">
        <v>1501086</v>
      </c>
      <c r="B156" s="182" t="s">
        <v>474</v>
      </c>
      <c r="C156" s="180" t="s">
        <v>293</v>
      </c>
      <c r="D156" s="180">
        <v>24</v>
      </c>
      <c r="E156" s="147">
        <v>4131.8900000000003</v>
      </c>
      <c r="F156" s="242" t="s">
        <v>475</v>
      </c>
    </row>
    <row r="157" spans="1:6" s="181" customFormat="1" ht="12.75" x14ac:dyDescent="0.2">
      <c r="A157" s="177">
        <v>1483276</v>
      </c>
      <c r="B157" s="182" t="s">
        <v>476</v>
      </c>
      <c r="C157" s="180" t="s">
        <v>293</v>
      </c>
      <c r="D157" s="180">
        <v>24</v>
      </c>
      <c r="E157" s="147">
        <v>4131.8900000000003</v>
      </c>
      <c r="F157" s="242" t="s">
        <v>477</v>
      </c>
    </row>
    <row r="158" spans="1:6" s="130" customFormat="1" ht="12.75" x14ac:dyDescent="0.2">
      <c r="A158" s="177">
        <v>1483277</v>
      </c>
      <c r="B158" s="178" t="s">
        <v>478</v>
      </c>
      <c r="C158" s="179" t="s">
        <v>293</v>
      </c>
      <c r="D158" s="179">
        <v>24</v>
      </c>
      <c r="E158" s="147">
        <v>4131.8900000000003</v>
      </c>
      <c r="F158" s="242" t="s">
        <v>479</v>
      </c>
    </row>
    <row r="159" spans="1:6" s="181" customFormat="1" ht="12.75" x14ac:dyDescent="0.2">
      <c r="A159" s="177">
        <v>1483273</v>
      </c>
      <c r="B159" s="182" t="s">
        <v>480</v>
      </c>
      <c r="C159" s="180" t="s">
        <v>293</v>
      </c>
      <c r="D159" s="180">
        <v>24</v>
      </c>
      <c r="E159" s="147">
        <v>4131.8900000000003</v>
      </c>
      <c r="F159" s="242" t="s">
        <v>481</v>
      </c>
    </row>
    <row r="160" spans="1:6" s="130" customFormat="1" ht="12.75" x14ac:dyDescent="0.2">
      <c r="A160" s="177">
        <v>1501078</v>
      </c>
      <c r="B160" s="178" t="s">
        <v>482</v>
      </c>
      <c r="C160" s="179" t="s">
        <v>293</v>
      </c>
      <c r="D160" s="179">
        <v>24</v>
      </c>
      <c r="E160" s="147">
        <v>4131.8900000000003</v>
      </c>
      <c r="F160" s="242" t="s">
        <v>483</v>
      </c>
    </row>
    <row r="161" spans="1:6" s="181" customFormat="1" ht="12.75" x14ac:dyDescent="0.2">
      <c r="A161" s="177">
        <v>1501080</v>
      </c>
      <c r="B161" s="182" t="s">
        <v>484</v>
      </c>
      <c r="C161" s="180" t="s">
        <v>293</v>
      </c>
      <c r="D161" s="180">
        <v>24</v>
      </c>
      <c r="E161" s="147">
        <v>4131.8900000000003</v>
      </c>
      <c r="F161" s="242" t="s">
        <v>485</v>
      </c>
    </row>
    <row r="162" spans="1:6" s="181" customFormat="1" ht="12.75" x14ac:dyDescent="0.2">
      <c r="A162" s="177">
        <v>1483272</v>
      </c>
      <c r="B162" s="182" t="s">
        <v>486</v>
      </c>
      <c r="C162" s="180" t="s">
        <v>293</v>
      </c>
      <c r="D162" s="180">
        <v>24</v>
      </c>
      <c r="E162" s="147">
        <v>4131.8900000000003</v>
      </c>
      <c r="F162" s="242" t="s">
        <v>487</v>
      </c>
    </row>
    <row r="163" spans="1:6" s="181" customFormat="1" ht="12.75" x14ac:dyDescent="0.2">
      <c r="A163" s="177">
        <v>1501073</v>
      </c>
      <c r="B163" s="182" t="s">
        <v>488</v>
      </c>
      <c r="C163" s="180" t="s">
        <v>293</v>
      </c>
      <c r="D163" s="180">
        <v>24</v>
      </c>
      <c r="E163" s="147">
        <v>4131.8900000000003</v>
      </c>
      <c r="F163" s="242" t="s">
        <v>489</v>
      </c>
    </row>
    <row r="164" spans="1:6" s="181" customFormat="1" ht="12.75" x14ac:dyDescent="0.2">
      <c r="A164" s="177">
        <v>1501065</v>
      </c>
      <c r="B164" s="182" t="s">
        <v>490</v>
      </c>
      <c r="C164" s="180" t="s">
        <v>293</v>
      </c>
      <c r="D164" s="180">
        <v>24</v>
      </c>
      <c r="E164" s="147">
        <v>4131.8900000000003</v>
      </c>
      <c r="F164" s="242" t="s">
        <v>491</v>
      </c>
    </row>
    <row r="165" spans="1:6" s="130" customFormat="1" ht="12.75" x14ac:dyDescent="0.2">
      <c r="A165" s="177">
        <v>1501074</v>
      </c>
      <c r="B165" s="178" t="s">
        <v>492</v>
      </c>
      <c r="C165" s="179" t="s">
        <v>293</v>
      </c>
      <c r="D165" s="179">
        <v>24</v>
      </c>
      <c r="E165" s="147">
        <v>4131.8900000000003</v>
      </c>
      <c r="F165" s="242" t="s">
        <v>493</v>
      </c>
    </row>
    <row r="166" spans="1:6" s="130" customFormat="1" ht="12.75" x14ac:dyDescent="0.2">
      <c r="A166" s="177">
        <v>1501068</v>
      </c>
      <c r="B166" s="178" t="s">
        <v>494</v>
      </c>
      <c r="C166" s="179" t="s">
        <v>293</v>
      </c>
      <c r="D166" s="179">
        <v>24</v>
      </c>
      <c r="E166" s="147">
        <v>4131.8900000000003</v>
      </c>
      <c r="F166" s="242" t="s">
        <v>495</v>
      </c>
    </row>
    <row r="167" spans="1:6" s="181" customFormat="1" ht="12.75" x14ac:dyDescent="0.2">
      <c r="A167" s="183">
        <v>1501088</v>
      </c>
      <c r="B167" s="184" t="s">
        <v>496</v>
      </c>
      <c r="C167" s="180" t="s">
        <v>293</v>
      </c>
      <c r="D167" s="180">
        <v>24</v>
      </c>
      <c r="E167" s="147">
        <v>4131.8900000000003</v>
      </c>
      <c r="F167" s="242" t="s">
        <v>497</v>
      </c>
    </row>
    <row r="168" spans="1:6" s="181" customFormat="1" ht="12.75" x14ac:dyDescent="0.2">
      <c r="A168" s="183">
        <v>1501087</v>
      </c>
      <c r="B168" s="184" t="s">
        <v>498</v>
      </c>
      <c r="C168" s="180" t="s">
        <v>293</v>
      </c>
      <c r="D168" s="180">
        <v>24</v>
      </c>
      <c r="E168" s="147">
        <v>4131.8900000000003</v>
      </c>
      <c r="F168" s="242" t="s">
        <v>499</v>
      </c>
    </row>
    <row r="169" spans="1:6" s="181" customFormat="1" ht="12.75" x14ac:dyDescent="0.2">
      <c r="A169" s="183">
        <v>1501066</v>
      </c>
      <c r="B169" s="184" t="s">
        <v>500</v>
      </c>
      <c r="C169" s="180" t="s">
        <v>293</v>
      </c>
      <c r="D169" s="180">
        <v>24</v>
      </c>
      <c r="E169" s="147">
        <v>4131.8900000000003</v>
      </c>
      <c r="F169" s="242" t="s">
        <v>501</v>
      </c>
    </row>
    <row r="170" spans="1:6" s="181" customFormat="1" ht="12.75" x14ac:dyDescent="0.2">
      <c r="A170" s="185">
        <v>1501067</v>
      </c>
      <c r="B170" s="186" t="s">
        <v>502</v>
      </c>
      <c r="C170" s="187" t="s">
        <v>293</v>
      </c>
      <c r="D170" s="187">
        <v>24</v>
      </c>
      <c r="E170" s="188">
        <v>4131.8900000000003</v>
      </c>
      <c r="F170" s="242" t="s">
        <v>503</v>
      </c>
    </row>
    <row r="171" spans="1:6" s="130" customFormat="1" ht="12.75" customHeight="1" x14ac:dyDescent="0.2">
      <c r="A171" s="189" t="s">
        <v>504</v>
      </c>
      <c r="B171" s="190"/>
      <c r="C171" s="190"/>
      <c r="D171" s="190"/>
      <c r="E171" s="191"/>
      <c r="F171" s="249"/>
    </row>
    <row r="172" spans="1:6" s="130" customFormat="1" ht="12.75" x14ac:dyDescent="0.2">
      <c r="A172" s="192">
        <v>1326503</v>
      </c>
      <c r="B172" s="193" t="s">
        <v>505</v>
      </c>
      <c r="C172" s="194" t="s">
        <v>293</v>
      </c>
      <c r="D172" s="194">
        <v>24</v>
      </c>
      <c r="E172" s="195">
        <v>4131.8900000000003</v>
      </c>
      <c r="F172" s="246" t="s">
        <v>506</v>
      </c>
    </row>
    <row r="173" spans="1:6" s="130" customFormat="1" ht="12.75" x14ac:dyDescent="0.2">
      <c r="A173" s="177">
        <v>1326504</v>
      </c>
      <c r="B173" s="178" t="s">
        <v>507</v>
      </c>
      <c r="C173" s="179" t="s">
        <v>293</v>
      </c>
      <c r="D173" s="179">
        <v>24</v>
      </c>
      <c r="E173" s="147">
        <v>4131.8900000000003</v>
      </c>
      <c r="F173" s="246" t="s">
        <v>508</v>
      </c>
    </row>
    <row r="174" spans="1:6" s="130" customFormat="1" ht="12.75" x14ac:dyDescent="0.2">
      <c r="A174" s="177">
        <v>1326578</v>
      </c>
      <c r="B174" s="178" t="s">
        <v>509</v>
      </c>
      <c r="C174" s="179" t="s">
        <v>293</v>
      </c>
      <c r="D174" s="179">
        <v>24</v>
      </c>
      <c r="E174" s="147">
        <v>4131.8900000000003</v>
      </c>
      <c r="F174" s="246" t="s">
        <v>510</v>
      </c>
    </row>
    <row r="175" spans="1:6" s="130" customFormat="1" ht="12.75" x14ac:dyDescent="0.2">
      <c r="A175" s="177">
        <v>1326510</v>
      </c>
      <c r="B175" s="178" t="s">
        <v>511</v>
      </c>
      <c r="C175" s="179" t="s">
        <v>293</v>
      </c>
      <c r="D175" s="179">
        <v>24</v>
      </c>
      <c r="E175" s="147">
        <v>4131.8900000000003</v>
      </c>
      <c r="F175" s="246" t="s">
        <v>512</v>
      </c>
    </row>
    <row r="176" spans="1:6" s="130" customFormat="1" ht="12.75" x14ac:dyDescent="0.2">
      <c r="A176" s="177">
        <v>1326551</v>
      </c>
      <c r="B176" s="178" t="s">
        <v>513</v>
      </c>
      <c r="C176" s="179" t="s">
        <v>293</v>
      </c>
      <c r="D176" s="179">
        <v>24</v>
      </c>
      <c r="E176" s="147">
        <v>4131.8900000000003</v>
      </c>
      <c r="F176" s="246" t="s">
        <v>514</v>
      </c>
    </row>
    <row r="177" spans="1:6" s="130" customFormat="1" ht="12.75" x14ac:dyDescent="0.2">
      <c r="A177" s="177">
        <v>1326552</v>
      </c>
      <c r="B177" s="178" t="s">
        <v>515</v>
      </c>
      <c r="C177" s="179" t="s">
        <v>293</v>
      </c>
      <c r="D177" s="179">
        <v>24</v>
      </c>
      <c r="E177" s="147">
        <v>4131.8900000000003</v>
      </c>
      <c r="F177" s="246" t="s">
        <v>516</v>
      </c>
    </row>
    <row r="178" spans="1:6" s="130" customFormat="1" ht="12.75" x14ac:dyDescent="0.2">
      <c r="A178" s="177">
        <v>1326555</v>
      </c>
      <c r="B178" s="178" t="s">
        <v>517</v>
      </c>
      <c r="C178" s="179" t="s">
        <v>293</v>
      </c>
      <c r="D178" s="179">
        <v>24</v>
      </c>
      <c r="E178" s="147">
        <v>4131.8900000000003</v>
      </c>
      <c r="F178" s="246" t="s">
        <v>518</v>
      </c>
    </row>
    <row r="179" spans="1:6" s="130" customFormat="1" ht="12.75" x14ac:dyDescent="0.2">
      <c r="A179" s="177">
        <v>1326559</v>
      </c>
      <c r="B179" s="178" t="s">
        <v>519</v>
      </c>
      <c r="C179" s="179" t="s">
        <v>293</v>
      </c>
      <c r="D179" s="179">
        <v>24</v>
      </c>
      <c r="E179" s="147">
        <v>4131.8900000000003</v>
      </c>
      <c r="F179" s="246" t="s">
        <v>520</v>
      </c>
    </row>
    <row r="180" spans="1:6" s="130" customFormat="1" ht="12.75" x14ac:dyDescent="0.2">
      <c r="A180" s="177">
        <v>1326574</v>
      </c>
      <c r="B180" s="178" t="s">
        <v>521</v>
      </c>
      <c r="C180" s="179" t="s">
        <v>293</v>
      </c>
      <c r="D180" s="179">
        <v>24</v>
      </c>
      <c r="E180" s="147">
        <v>4131.8900000000003</v>
      </c>
      <c r="F180" s="246" t="s">
        <v>522</v>
      </c>
    </row>
    <row r="181" spans="1:6" s="130" customFormat="1" ht="12.75" x14ac:dyDescent="0.2">
      <c r="A181" s="177">
        <v>1326579</v>
      </c>
      <c r="B181" s="178" t="s">
        <v>523</v>
      </c>
      <c r="C181" s="179" t="s">
        <v>293</v>
      </c>
      <c r="D181" s="179">
        <v>24</v>
      </c>
      <c r="E181" s="147">
        <v>4131.8900000000003</v>
      </c>
      <c r="F181" s="246" t="s">
        <v>524</v>
      </c>
    </row>
    <row r="182" spans="1:6" s="130" customFormat="1" ht="12.75" x14ac:dyDescent="0.2">
      <c r="A182" s="177">
        <v>1326603</v>
      </c>
      <c r="B182" s="178" t="s">
        <v>525</v>
      </c>
      <c r="C182" s="179" t="s">
        <v>293</v>
      </c>
      <c r="D182" s="179">
        <v>24</v>
      </c>
      <c r="E182" s="147">
        <v>4131.8900000000003</v>
      </c>
      <c r="F182" s="246" t="s">
        <v>526</v>
      </c>
    </row>
    <row r="183" spans="1:6" s="130" customFormat="1" ht="12.75" x14ac:dyDescent="0.2">
      <c r="A183" s="177">
        <v>1326605</v>
      </c>
      <c r="B183" s="178" t="s">
        <v>527</v>
      </c>
      <c r="C183" s="179" t="s">
        <v>293</v>
      </c>
      <c r="D183" s="179">
        <v>24</v>
      </c>
      <c r="E183" s="147">
        <v>4131.8900000000003</v>
      </c>
      <c r="F183" s="246" t="s">
        <v>528</v>
      </c>
    </row>
    <row r="184" spans="1:6" s="130" customFormat="1" ht="12.75" x14ac:dyDescent="0.2">
      <c r="A184" s="177">
        <v>1326607</v>
      </c>
      <c r="B184" s="178" t="s">
        <v>529</v>
      </c>
      <c r="C184" s="179" t="s">
        <v>293</v>
      </c>
      <c r="D184" s="179">
        <v>24</v>
      </c>
      <c r="E184" s="147">
        <v>4131.8900000000003</v>
      </c>
      <c r="F184" s="246" t="s">
        <v>530</v>
      </c>
    </row>
    <row r="185" spans="1:6" s="130" customFormat="1" ht="12.75" x14ac:dyDescent="0.2">
      <c r="A185" s="177">
        <v>1326632</v>
      </c>
      <c r="B185" s="178" t="s">
        <v>531</v>
      </c>
      <c r="C185" s="179" t="s">
        <v>293</v>
      </c>
      <c r="D185" s="179">
        <v>24</v>
      </c>
      <c r="E185" s="147">
        <v>4131.8900000000003</v>
      </c>
      <c r="F185" s="246" t="s">
        <v>532</v>
      </c>
    </row>
    <row r="186" spans="1:6" s="130" customFormat="1" ht="12.75" x14ac:dyDescent="0.2">
      <c r="A186" s="177">
        <v>1326634</v>
      </c>
      <c r="B186" s="178" t="s">
        <v>533</v>
      </c>
      <c r="C186" s="179" t="s">
        <v>293</v>
      </c>
      <c r="D186" s="179">
        <v>24</v>
      </c>
      <c r="E186" s="147">
        <v>4131.8900000000003</v>
      </c>
      <c r="F186" s="246" t="s">
        <v>534</v>
      </c>
    </row>
    <row r="187" spans="1:6" s="130" customFormat="1" ht="12.75" x14ac:dyDescent="0.2">
      <c r="A187" s="177">
        <v>1326636</v>
      </c>
      <c r="B187" s="178" t="s">
        <v>535</v>
      </c>
      <c r="C187" s="179" t="s">
        <v>293</v>
      </c>
      <c r="D187" s="179">
        <v>24</v>
      </c>
      <c r="E187" s="147">
        <v>4131.8900000000003</v>
      </c>
      <c r="F187" s="246" t="s">
        <v>536</v>
      </c>
    </row>
    <row r="188" spans="1:6" s="130" customFormat="1" ht="12.75" x14ac:dyDescent="0.2">
      <c r="A188" s="177">
        <v>1326638</v>
      </c>
      <c r="B188" s="178" t="s">
        <v>537</v>
      </c>
      <c r="C188" s="179" t="s">
        <v>293</v>
      </c>
      <c r="D188" s="179">
        <v>24</v>
      </c>
      <c r="E188" s="147">
        <v>4131.8900000000003</v>
      </c>
      <c r="F188" s="246" t="s">
        <v>538</v>
      </c>
    </row>
    <row r="189" spans="1:6" s="130" customFormat="1" ht="12.75" x14ac:dyDescent="0.2">
      <c r="A189" s="177">
        <v>1326652</v>
      </c>
      <c r="B189" s="178" t="s">
        <v>539</v>
      </c>
      <c r="C189" s="179" t="s">
        <v>293</v>
      </c>
      <c r="D189" s="179">
        <v>24</v>
      </c>
      <c r="E189" s="147">
        <v>4131.8900000000003</v>
      </c>
      <c r="F189" s="246" t="s">
        <v>540</v>
      </c>
    </row>
    <row r="190" spans="1:6" s="130" customFormat="1" ht="12.75" x14ac:dyDescent="0.2">
      <c r="A190" s="177">
        <v>1326703</v>
      </c>
      <c r="B190" s="178" t="s">
        <v>541</v>
      </c>
      <c r="C190" s="179" t="s">
        <v>293</v>
      </c>
      <c r="D190" s="179">
        <v>24</v>
      </c>
      <c r="E190" s="147">
        <v>4131.8900000000003</v>
      </c>
      <c r="F190" s="246" t="s">
        <v>542</v>
      </c>
    </row>
    <row r="191" spans="1:6" s="130" customFormat="1" ht="12.75" x14ac:dyDescent="0.2">
      <c r="A191" s="177">
        <v>1326706</v>
      </c>
      <c r="B191" s="178" t="s">
        <v>543</v>
      </c>
      <c r="C191" s="179" t="s">
        <v>293</v>
      </c>
      <c r="D191" s="179">
        <v>24</v>
      </c>
      <c r="E191" s="147">
        <v>4131.8900000000003</v>
      </c>
      <c r="F191" s="246" t="s">
        <v>544</v>
      </c>
    </row>
    <row r="192" spans="1:6" s="130" customFormat="1" ht="12.75" x14ac:dyDescent="0.2">
      <c r="A192" s="177">
        <v>1326707</v>
      </c>
      <c r="B192" s="178" t="s">
        <v>545</v>
      </c>
      <c r="C192" s="179" t="s">
        <v>293</v>
      </c>
      <c r="D192" s="179">
        <v>24</v>
      </c>
      <c r="E192" s="147">
        <v>4131.8900000000003</v>
      </c>
      <c r="F192" s="246" t="s">
        <v>546</v>
      </c>
    </row>
    <row r="193" spans="1:6" s="130" customFormat="1" ht="12.75" x14ac:dyDescent="0.2">
      <c r="A193" s="177">
        <v>1326708</v>
      </c>
      <c r="B193" s="178" t="s">
        <v>547</v>
      </c>
      <c r="C193" s="179" t="s">
        <v>293</v>
      </c>
      <c r="D193" s="179">
        <v>24</v>
      </c>
      <c r="E193" s="147">
        <v>4131.8900000000003</v>
      </c>
      <c r="F193" s="246" t="s">
        <v>548</v>
      </c>
    </row>
    <row r="194" spans="1:6" s="130" customFormat="1" ht="12.75" x14ac:dyDescent="0.2">
      <c r="A194" s="177">
        <v>1326709</v>
      </c>
      <c r="B194" s="178" t="s">
        <v>549</v>
      </c>
      <c r="C194" s="179" t="s">
        <v>293</v>
      </c>
      <c r="D194" s="179">
        <v>24</v>
      </c>
      <c r="E194" s="147">
        <v>4131.8900000000003</v>
      </c>
      <c r="F194" s="246" t="s">
        <v>550</v>
      </c>
    </row>
    <row r="195" spans="1:6" s="130" customFormat="1" ht="12.75" x14ac:dyDescent="0.2">
      <c r="A195" s="177">
        <v>1326710</v>
      </c>
      <c r="B195" s="178" t="s">
        <v>551</v>
      </c>
      <c r="C195" s="179" t="s">
        <v>293</v>
      </c>
      <c r="D195" s="179">
        <v>24</v>
      </c>
      <c r="E195" s="147">
        <v>4131.8900000000003</v>
      </c>
      <c r="F195" s="246" t="s">
        <v>552</v>
      </c>
    </row>
    <row r="196" spans="1:6" s="130" customFormat="1" ht="12.75" x14ac:dyDescent="0.2">
      <c r="A196" s="177">
        <v>1326554</v>
      </c>
      <c r="B196" s="178" t="s">
        <v>553</v>
      </c>
      <c r="C196" s="179" t="s">
        <v>293</v>
      </c>
      <c r="D196" s="179">
        <v>24</v>
      </c>
      <c r="E196" s="147">
        <v>4131.8900000000003</v>
      </c>
      <c r="F196" s="250" t="s">
        <v>554</v>
      </c>
    </row>
    <row r="197" spans="1:6" s="130" customFormat="1" ht="12.75" x14ac:dyDescent="0.2">
      <c r="A197" s="177">
        <v>1326558</v>
      </c>
      <c r="B197" s="178" t="s">
        <v>555</v>
      </c>
      <c r="C197" s="179" t="s">
        <v>293</v>
      </c>
      <c r="D197" s="179">
        <v>24</v>
      </c>
      <c r="E197" s="147">
        <v>4131.8900000000003</v>
      </c>
      <c r="F197" s="246" t="s">
        <v>556</v>
      </c>
    </row>
    <row r="198" spans="1:6" s="130" customFormat="1" ht="12.75" x14ac:dyDescent="0.2">
      <c r="A198" s="177">
        <v>1326560</v>
      </c>
      <c r="B198" s="178" t="s">
        <v>557</v>
      </c>
      <c r="C198" s="179" t="s">
        <v>293</v>
      </c>
      <c r="D198" s="179">
        <v>24</v>
      </c>
      <c r="E198" s="147">
        <v>4131.8900000000003</v>
      </c>
      <c r="F198" s="246" t="s">
        <v>558</v>
      </c>
    </row>
    <row r="199" spans="1:6" s="130" customFormat="1" ht="12.75" x14ac:dyDescent="0.2">
      <c r="A199" s="177">
        <v>1326571</v>
      </c>
      <c r="B199" s="178" t="s">
        <v>559</v>
      </c>
      <c r="C199" s="179" t="s">
        <v>293</v>
      </c>
      <c r="D199" s="179">
        <v>24</v>
      </c>
      <c r="E199" s="147">
        <v>4131.8900000000003</v>
      </c>
      <c r="F199" s="246" t="s">
        <v>560</v>
      </c>
    </row>
    <row r="200" spans="1:6" s="130" customFormat="1" ht="12.75" x14ac:dyDescent="0.2">
      <c r="A200" s="177">
        <v>1326573</v>
      </c>
      <c r="B200" s="178" t="s">
        <v>561</v>
      </c>
      <c r="C200" s="179" t="s">
        <v>293</v>
      </c>
      <c r="D200" s="179">
        <v>24</v>
      </c>
      <c r="E200" s="147">
        <v>4131.8900000000003</v>
      </c>
      <c r="F200" s="246" t="s">
        <v>562</v>
      </c>
    </row>
    <row r="201" spans="1:6" s="130" customFormat="1" ht="12.75" x14ac:dyDescent="0.2">
      <c r="A201" s="177">
        <v>1326575</v>
      </c>
      <c r="B201" s="178" t="s">
        <v>563</v>
      </c>
      <c r="C201" s="179" t="s">
        <v>293</v>
      </c>
      <c r="D201" s="179">
        <v>24</v>
      </c>
      <c r="E201" s="147">
        <v>4131.8900000000003</v>
      </c>
      <c r="F201" s="246" t="s">
        <v>564</v>
      </c>
    </row>
    <row r="202" spans="1:6" s="130" customFormat="1" ht="12.75" x14ac:dyDescent="0.2">
      <c r="A202" s="177">
        <v>1326580</v>
      </c>
      <c r="B202" s="178" t="s">
        <v>565</v>
      </c>
      <c r="C202" s="179" t="s">
        <v>293</v>
      </c>
      <c r="D202" s="179">
        <v>24</v>
      </c>
      <c r="E202" s="147">
        <v>4131.8900000000003</v>
      </c>
      <c r="F202" s="246" t="s">
        <v>566</v>
      </c>
    </row>
    <row r="203" spans="1:6" s="130" customFormat="1" ht="12.75" x14ac:dyDescent="0.2">
      <c r="A203" s="177">
        <v>1326604</v>
      </c>
      <c r="B203" s="178" t="s">
        <v>567</v>
      </c>
      <c r="C203" s="179" t="s">
        <v>293</v>
      </c>
      <c r="D203" s="179">
        <v>24</v>
      </c>
      <c r="E203" s="147">
        <v>4132.2299999999996</v>
      </c>
      <c r="F203" s="246" t="s">
        <v>568</v>
      </c>
    </row>
    <row r="204" spans="1:6" s="130" customFormat="1" ht="12.75" x14ac:dyDescent="0.2">
      <c r="A204" s="177">
        <v>1326606</v>
      </c>
      <c r="B204" s="178" t="s">
        <v>569</v>
      </c>
      <c r="C204" s="179" t="s">
        <v>293</v>
      </c>
      <c r="D204" s="179">
        <v>24</v>
      </c>
      <c r="E204" s="147">
        <v>4132.2299999999996</v>
      </c>
      <c r="F204" s="246" t="s">
        <v>570</v>
      </c>
    </row>
    <row r="205" spans="1:6" s="130" customFormat="1" ht="12.75" x14ac:dyDescent="0.2">
      <c r="A205" s="177">
        <v>1326608</v>
      </c>
      <c r="B205" s="178" t="s">
        <v>571</v>
      </c>
      <c r="C205" s="179" t="s">
        <v>293</v>
      </c>
      <c r="D205" s="179">
        <v>24</v>
      </c>
      <c r="E205" s="147">
        <v>4132.2299999999996</v>
      </c>
      <c r="F205" s="246" t="s">
        <v>572</v>
      </c>
    </row>
    <row r="206" spans="1:6" s="130" customFormat="1" ht="12.75" x14ac:dyDescent="0.2">
      <c r="A206" s="177">
        <v>1326609</v>
      </c>
      <c r="B206" s="178" t="s">
        <v>573</v>
      </c>
      <c r="C206" s="179" t="s">
        <v>293</v>
      </c>
      <c r="D206" s="179">
        <v>24</v>
      </c>
      <c r="E206" s="147">
        <v>4132.2299999999996</v>
      </c>
      <c r="F206" s="246" t="s">
        <v>574</v>
      </c>
    </row>
    <row r="207" spans="1:6" s="130" customFormat="1" ht="12.75" x14ac:dyDescent="0.2">
      <c r="A207" s="177">
        <v>1326610</v>
      </c>
      <c r="B207" s="178" t="s">
        <v>575</v>
      </c>
      <c r="C207" s="179" t="s">
        <v>293</v>
      </c>
      <c r="D207" s="179">
        <v>24</v>
      </c>
      <c r="E207" s="147">
        <v>4132.2299999999996</v>
      </c>
      <c r="F207" s="246" t="s">
        <v>576</v>
      </c>
    </row>
    <row r="208" spans="1:6" s="130" customFormat="1" ht="12.75" x14ac:dyDescent="0.2">
      <c r="A208" s="177">
        <v>1326631</v>
      </c>
      <c r="B208" s="178" t="s">
        <v>577</v>
      </c>
      <c r="C208" s="179" t="s">
        <v>293</v>
      </c>
      <c r="D208" s="179">
        <v>24</v>
      </c>
      <c r="E208" s="147">
        <v>4132.2299999999996</v>
      </c>
      <c r="F208" s="246" t="s">
        <v>578</v>
      </c>
    </row>
    <row r="209" spans="1:8" s="130" customFormat="1" ht="12.75" x14ac:dyDescent="0.2">
      <c r="A209" s="177">
        <v>1326633</v>
      </c>
      <c r="B209" s="178" t="s">
        <v>579</v>
      </c>
      <c r="C209" s="179" t="s">
        <v>293</v>
      </c>
      <c r="D209" s="179">
        <v>24</v>
      </c>
      <c r="E209" s="147">
        <v>4132.2299999999996</v>
      </c>
      <c r="F209" s="246" t="s">
        <v>580</v>
      </c>
    </row>
    <row r="210" spans="1:8" s="130" customFormat="1" ht="12.75" x14ac:dyDescent="0.2">
      <c r="A210" s="177">
        <v>1326635</v>
      </c>
      <c r="B210" s="178" t="s">
        <v>581</v>
      </c>
      <c r="C210" s="179" t="s">
        <v>293</v>
      </c>
      <c r="D210" s="179">
        <v>24</v>
      </c>
      <c r="E210" s="147">
        <v>4132.2299999999996</v>
      </c>
      <c r="F210" s="246" t="s">
        <v>582</v>
      </c>
    </row>
    <row r="211" spans="1:8" s="130" customFormat="1" ht="12.75" x14ac:dyDescent="0.2">
      <c r="A211" s="177">
        <v>1326637</v>
      </c>
      <c r="B211" s="178" t="s">
        <v>583</v>
      </c>
      <c r="C211" s="179" t="s">
        <v>293</v>
      </c>
      <c r="D211" s="179">
        <v>24</v>
      </c>
      <c r="E211" s="147">
        <v>4132.2299999999996</v>
      </c>
      <c r="F211" s="246" t="s">
        <v>584</v>
      </c>
    </row>
    <row r="212" spans="1:8" s="130" customFormat="1" ht="12.75" x14ac:dyDescent="0.2">
      <c r="A212" s="177">
        <v>1326639</v>
      </c>
      <c r="B212" s="178" t="s">
        <v>585</v>
      </c>
      <c r="C212" s="179" t="s">
        <v>293</v>
      </c>
      <c r="D212" s="179">
        <v>24</v>
      </c>
      <c r="E212" s="147">
        <v>4132.2299999999996</v>
      </c>
      <c r="F212" s="246" t="s">
        <v>586</v>
      </c>
    </row>
    <row r="213" spans="1:8" s="142" customFormat="1" ht="12.75" customHeight="1" x14ac:dyDescent="0.25">
      <c r="A213" s="632" t="s">
        <v>587</v>
      </c>
      <c r="B213" s="490"/>
      <c r="C213" s="490"/>
      <c r="D213" s="490"/>
      <c r="E213" s="490"/>
      <c r="F213" s="633"/>
    </row>
    <row r="214" spans="1:8" x14ac:dyDescent="0.25">
      <c r="A214" s="171" t="s">
        <v>588</v>
      </c>
      <c r="B214" s="167"/>
      <c r="C214" s="167"/>
      <c r="D214" s="167"/>
      <c r="E214" s="167"/>
      <c r="F214" s="242"/>
      <c r="H214"/>
    </row>
    <row r="215" spans="1:8" s="154" customFormat="1" ht="11.25" x14ac:dyDescent="0.2">
      <c r="A215" s="168">
        <v>899272</v>
      </c>
      <c r="B215" s="169" t="s">
        <v>589</v>
      </c>
      <c r="C215" s="170" t="s">
        <v>590</v>
      </c>
      <c r="D215" s="170">
        <v>24</v>
      </c>
      <c r="E215" s="147">
        <v>2807.94</v>
      </c>
      <c r="F215" s="247" t="s">
        <v>591</v>
      </c>
    </row>
    <row r="216" spans="1:8" s="154" customFormat="1" ht="11.25" x14ac:dyDescent="0.2">
      <c r="A216" s="168">
        <v>1289760</v>
      </c>
      <c r="B216" s="169" t="s">
        <v>592</v>
      </c>
      <c r="C216" s="170" t="s">
        <v>590</v>
      </c>
      <c r="D216" s="170">
        <v>24</v>
      </c>
      <c r="E216" s="147">
        <v>3555.32</v>
      </c>
      <c r="F216" s="247" t="s">
        <v>593</v>
      </c>
    </row>
    <row r="217" spans="1:8" s="154" customFormat="1" ht="11.25" x14ac:dyDescent="0.2">
      <c r="A217" s="168">
        <v>1289761</v>
      </c>
      <c r="B217" s="169" t="s">
        <v>594</v>
      </c>
      <c r="C217" s="170" t="s">
        <v>590</v>
      </c>
      <c r="D217" s="170">
        <v>24</v>
      </c>
      <c r="E217" s="147">
        <v>3822.93</v>
      </c>
      <c r="F217" s="247" t="s">
        <v>595</v>
      </c>
    </row>
    <row r="218" spans="1:8" s="154" customFormat="1" ht="11.25" x14ac:dyDescent="0.2">
      <c r="A218" s="168">
        <v>1289762</v>
      </c>
      <c r="B218" s="169" t="s">
        <v>596</v>
      </c>
      <c r="C218" s="170" t="s">
        <v>590</v>
      </c>
      <c r="D218" s="170">
        <v>24</v>
      </c>
      <c r="E218" s="147">
        <v>5097.2299999999996</v>
      </c>
      <c r="F218" s="247" t="s">
        <v>597</v>
      </c>
    </row>
    <row r="219" spans="1:8" s="154" customFormat="1" ht="11.25" x14ac:dyDescent="0.2">
      <c r="A219" s="168">
        <v>1289763</v>
      </c>
      <c r="B219" s="169" t="s">
        <v>598</v>
      </c>
      <c r="C219" s="170" t="s">
        <v>590</v>
      </c>
      <c r="D219" s="170">
        <v>24</v>
      </c>
      <c r="E219" s="147">
        <v>6371.56</v>
      </c>
      <c r="F219" s="247" t="s">
        <v>599</v>
      </c>
    </row>
    <row r="220" spans="1:8" s="116" customFormat="1" ht="12.75" x14ac:dyDescent="0.2">
      <c r="A220" s="183">
        <v>1289764</v>
      </c>
      <c r="B220" s="184" t="s">
        <v>600</v>
      </c>
      <c r="C220" s="170" t="s">
        <v>590</v>
      </c>
      <c r="D220" s="180">
        <v>24</v>
      </c>
      <c r="E220" s="147">
        <v>7964.45</v>
      </c>
      <c r="F220" s="184" t="s">
        <v>601</v>
      </c>
    </row>
    <row r="221" spans="1:8" s="112" customFormat="1" ht="12.75" x14ac:dyDescent="0.2">
      <c r="A221" s="171" t="s">
        <v>602</v>
      </c>
      <c r="B221" s="196"/>
      <c r="C221" s="197"/>
      <c r="D221" s="198"/>
      <c r="E221" s="199"/>
      <c r="F221" s="251"/>
    </row>
    <row r="222" spans="1:8" s="154" customFormat="1" ht="11.25" x14ac:dyDescent="0.2">
      <c r="A222" s="168">
        <v>1706390</v>
      </c>
      <c r="B222" s="169" t="s">
        <v>603</v>
      </c>
      <c r="C222" s="170" t="s">
        <v>590</v>
      </c>
      <c r="D222" s="170">
        <v>24</v>
      </c>
      <c r="E222" s="147">
        <v>2406.21</v>
      </c>
      <c r="F222" s="247" t="s">
        <v>604</v>
      </c>
    </row>
    <row r="223" spans="1:8" s="154" customFormat="1" ht="11.25" x14ac:dyDescent="0.2">
      <c r="A223" s="168">
        <v>1719281</v>
      </c>
      <c r="B223" s="169" t="s">
        <v>605</v>
      </c>
      <c r="C223" s="170" t="s">
        <v>590</v>
      </c>
      <c r="D223" s="170">
        <v>24</v>
      </c>
      <c r="E223" s="147">
        <v>3555.32</v>
      </c>
      <c r="F223" s="247" t="s">
        <v>604</v>
      </c>
    </row>
    <row r="224" spans="1:8" s="154" customFormat="1" ht="11.25" x14ac:dyDescent="0.2">
      <c r="A224" s="168">
        <v>1719284</v>
      </c>
      <c r="B224" s="169" t="s">
        <v>606</v>
      </c>
      <c r="C224" s="170" t="s">
        <v>590</v>
      </c>
      <c r="D224" s="170">
        <v>24</v>
      </c>
      <c r="E224" s="147">
        <v>3822.93</v>
      </c>
      <c r="F224" s="247" t="s">
        <v>604</v>
      </c>
    </row>
    <row r="225" spans="1:8" s="154" customFormat="1" ht="11.25" x14ac:dyDescent="0.2">
      <c r="A225" s="168">
        <v>1719292</v>
      </c>
      <c r="B225" s="169" t="s">
        <v>607</v>
      </c>
      <c r="C225" s="170" t="s">
        <v>590</v>
      </c>
      <c r="D225" s="170">
        <v>24</v>
      </c>
      <c r="E225" s="147">
        <v>5097.2299999999996</v>
      </c>
      <c r="F225" s="247" t="s">
        <v>604</v>
      </c>
    </row>
    <row r="226" spans="1:8" s="154" customFormat="1" ht="11.25" x14ac:dyDescent="0.2">
      <c r="A226" s="168">
        <v>1719312</v>
      </c>
      <c r="B226" s="169" t="s">
        <v>608</v>
      </c>
      <c r="C226" s="170" t="s">
        <v>590</v>
      </c>
      <c r="D226" s="170">
        <v>24</v>
      </c>
      <c r="E226" s="147">
        <v>6371.56</v>
      </c>
      <c r="F226" s="247" t="s">
        <v>604</v>
      </c>
    </row>
    <row r="227" spans="1:8" x14ac:dyDescent="0.25">
      <c r="A227" s="171" t="s">
        <v>609</v>
      </c>
      <c r="B227" s="167"/>
      <c r="C227" s="167"/>
      <c r="D227" s="167"/>
      <c r="E227" s="172"/>
      <c r="F227" s="251"/>
      <c r="H227"/>
    </row>
    <row r="228" spans="1:8" s="154" customFormat="1" ht="11.25" x14ac:dyDescent="0.2">
      <c r="A228" s="168">
        <v>899271</v>
      </c>
      <c r="B228" s="200" t="s">
        <v>610</v>
      </c>
      <c r="C228" s="170" t="s">
        <v>590</v>
      </c>
      <c r="D228" s="170">
        <v>24</v>
      </c>
      <c r="E228" s="147">
        <v>3285.36</v>
      </c>
      <c r="F228" s="247" t="s">
        <v>611</v>
      </c>
    </row>
    <row r="229" spans="1:8" s="154" customFormat="1" ht="11.25" x14ac:dyDescent="0.2">
      <c r="A229" s="168">
        <v>1289755</v>
      </c>
      <c r="B229" s="200" t="s">
        <v>612</v>
      </c>
      <c r="C229" s="170" t="s">
        <v>590</v>
      </c>
      <c r="D229" s="170">
        <v>24</v>
      </c>
      <c r="E229" s="147">
        <v>4123.3900000000003</v>
      </c>
      <c r="F229" s="247" t="s">
        <v>613</v>
      </c>
    </row>
    <row r="230" spans="1:8" s="154" customFormat="1" ht="11.25" x14ac:dyDescent="0.2">
      <c r="A230" s="168">
        <v>1289756</v>
      </c>
      <c r="B230" s="200" t="s">
        <v>614</v>
      </c>
      <c r="C230" s="170" t="s">
        <v>590</v>
      </c>
      <c r="D230" s="170">
        <v>24</v>
      </c>
      <c r="E230" s="147">
        <v>4851.05</v>
      </c>
      <c r="F230" s="247" t="s">
        <v>615</v>
      </c>
    </row>
    <row r="231" spans="1:8" s="154" customFormat="1" ht="11.25" x14ac:dyDescent="0.2">
      <c r="A231" s="168">
        <v>1289757</v>
      </c>
      <c r="B231" s="200" t="s">
        <v>616</v>
      </c>
      <c r="C231" s="170" t="s">
        <v>590</v>
      </c>
      <c r="D231" s="170">
        <v>24</v>
      </c>
      <c r="E231" s="147">
        <v>5970.53</v>
      </c>
      <c r="F231" s="247" t="s">
        <v>617</v>
      </c>
    </row>
    <row r="232" spans="1:8" s="154" customFormat="1" ht="11.25" x14ac:dyDescent="0.2">
      <c r="A232" s="168">
        <v>1289758</v>
      </c>
      <c r="B232" s="200" t="s">
        <v>618</v>
      </c>
      <c r="C232" s="170" t="s">
        <v>590</v>
      </c>
      <c r="D232" s="170">
        <v>24</v>
      </c>
      <c r="E232" s="147">
        <v>7463.15</v>
      </c>
      <c r="F232" s="247" t="s">
        <v>619</v>
      </c>
    </row>
    <row r="233" spans="1:8" s="154" customFormat="1" ht="12.75" customHeight="1" x14ac:dyDescent="0.2">
      <c r="A233" s="168">
        <v>1289759</v>
      </c>
      <c r="B233" s="200" t="s">
        <v>620</v>
      </c>
      <c r="C233" s="170" t="s">
        <v>590</v>
      </c>
      <c r="D233" s="170">
        <v>24</v>
      </c>
      <c r="E233" s="147">
        <v>9328.94</v>
      </c>
      <c r="F233" s="252" t="s">
        <v>621</v>
      </c>
    </row>
    <row r="234" spans="1:8" x14ac:dyDescent="0.25">
      <c r="A234" s="171" t="s">
        <v>622</v>
      </c>
      <c r="B234" s="167"/>
      <c r="C234" s="167"/>
      <c r="D234" s="167"/>
      <c r="E234" s="172"/>
      <c r="F234" s="242"/>
      <c r="H234"/>
    </row>
    <row r="235" spans="1:8" s="154" customFormat="1" ht="11.25" x14ac:dyDescent="0.2">
      <c r="A235" s="168">
        <v>899250</v>
      </c>
      <c r="B235" s="200" t="s">
        <v>623</v>
      </c>
      <c r="C235" s="170" t="s">
        <v>590</v>
      </c>
      <c r="D235" s="170">
        <v>24</v>
      </c>
      <c r="E235" s="147">
        <v>5279.81</v>
      </c>
      <c r="F235" s="247" t="s">
        <v>624</v>
      </c>
    </row>
    <row r="236" spans="1:8" s="154" customFormat="1" ht="11.25" x14ac:dyDescent="0.2">
      <c r="A236" s="168">
        <v>1289729</v>
      </c>
      <c r="B236" s="200" t="s">
        <v>625</v>
      </c>
      <c r="C236" s="170" t="s">
        <v>590</v>
      </c>
      <c r="D236" s="170">
        <v>24</v>
      </c>
      <c r="E236" s="147">
        <v>6045.02</v>
      </c>
      <c r="F236" s="247">
        <v>4640013270203</v>
      </c>
    </row>
    <row r="237" spans="1:8" s="154" customFormat="1" ht="11.25" x14ac:dyDescent="0.2">
      <c r="A237" s="168">
        <v>1289743</v>
      </c>
      <c r="B237" s="200" t="s">
        <v>626</v>
      </c>
      <c r="C237" s="170" t="s">
        <v>590</v>
      </c>
      <c r="D237" s="170">
        <v>24</v>
      </c>
      <c r="E237" s="147">
        <v>7111.79</v>
      </c>
      <c r="F237" s="247">
        <v>4640013270210</v>
      </c>
    </row>
    <row r="238" spans="1:8" s="154" customFormat="1" ht="11.25" x14ac:dyDescent="0.2">
      <c r="A238" s="168">
        <v>1289749</v>
      </c>
      <c r="B238" s="200" t="s">
        <v>627</v>
      </c>
      <c r="C238" s="170" t="s">
        <v>590</v>
      </c>
      <c r="D238" s="170">
        <v>24</v>
      </c>
      <c r="E238" s="147">
        <v>9482.3799999999992</v>
      </c>
      <c r="F238" s="247">
        <v>4640013270227</v>
      </c>
    </row>
    <row r="239" spans="1:8" s="154" customFormat="1" ht="11.25" x14ac:dyDescent="0.2">
      <c r="A239" s="168">
        <v>1289752</v>
      </c>
      <c r="B239" s="200" t="s">
        <v>628</v>
      </c>
      <c r="C239" s="170" t="s">
        <v>590</v>
      </c>
      <c r="D239" s="170">
        <v>24</v>
      </c>
      <c r="E239" s="147">
        <v>11852.98</v>
      </c>
      <c r="F239" s="247">
        <v>4640013270234</v>
      </c>
    </row>
    <row r="240" spans="1:8" s="154" customFormat="1" ht="11.25" x14ac:dyDescent="0.2">
      <c r="A240" s="168">
        <v>1289753</v>
      </c>
      <c r="B240" s="200" t="s">
        <v>629</v>
      </c>
      <c r="C240" s="170" t="s">
        <v>590</v>
      </c>
      <c r="D240" s="170">
        <v>24</v>
      </c>
      <c r="E240" s="147">
        <v>14816.22</v>
      </c>
      <c r="F240" s="247">
        <v>4640013270241</v>
      </c>
    </row>
    <row r="241" spans="1:6" s="202" customFormat="1" x14ac:dyDescent="0.25">
      <c r="A241" s="171" t="s">
        <v>630</v>
      </c>
      <c r="B241" s="167"/>
      <c r="C241" s="167"/>
      <c r="D241" s="167"/>
      <c r="E241" s="201"/>
      <c r="F241" s="253"/>
    </row>
    <row r="242" spans="1:6" s="154" customFormat="1" ht="11.25" x14ac:dyDescent="0.2">
      <c r="A242" s="168">
        <v>1876805</v>
      </c>
      <c r="B242" s="200" t="s">
        <v>631</v>
      </c>
      <c r="C242" s="170" t="s">
        <v>590</v>
      </c>
      <c r="D242" s="170">
        <v>24</v>
      </c>
      <c r="E242" s="147">
        <v>5015.82</v>
      </c>
      <c r="F242" s="247">
        <v>4640013270661</v>
      </c>
    </row>
    <row r="243" spans="1:6" s="154" customFormat="1" ht="11.25" x14ac:dyDescent="0.2">
      <c r="A243" s="168">
        <v>1876815</v>
      </c>
      <c r="B243" s="200" t="s">
        <v>632</v>
      </c>
      <c r="C243" s="170" t="s">
        <v>590</v>
      </c>
      <c r="D243" s="170">
        <v>24</v>
      </c>
      <c r="E243" s="147">
        <v>6045.02</v>
      </c>
      <c r="F243" s="247">
        <v>4640013270678</v>
      </c>
    </row>
    <row r="244" spans="1:6" s="154" customFormat="1" ht="11.25" x14ac:dyDescent="0.2">
      <c r="A244" s="168">
        <v>1876921</v>
      </c>
      <c r="B244" s="200" t="s">
        <v>633</v>
      </c>
      <c r="C244" s="170" t="s">
        <v>590</v>
      </c>
      <c r="D244" s="170">
        <v>24</v>
      </c>
      <c r="E244" s="147">
        <v>7111.79</v>
      </c>
      <c r="F244" s="247">
        <v>4640013270685</v>
      </c>
    </row>
    <row r="245" spans="1:6" s="154" customFormat="1" ht="11.25" x14ac:dyDescent="0.2">
      <c r="A245" s="168">
        <v>1876787</v>
      </c>
      <c r="B245" s="200" t="s">
        <v>634</v>
      </c>
      <c r="C245" s="170" t="s">
        <v>590</v>
      </c>
      <c r="D245" s="170">
        <v>24</v>
      </c>
      <c r="E245" s="147">
        <v>9482.3799999999992</v>
      </c>
      <c r="F245" s="247">
        <v>4640013270692</v>
      </c>
    </row>
    <row r="246" spans="1:6" s="154" customFormat="1" ht="11.25" x14ac:dyDescent="0.2">
      <c r="A246" s="168">
        <v>1876919</v>
      </c>
      <c r="B246" s="200" t="s">
        <v>635</v>
      </c>
      <c r="C246" s="170" t="s">
        <v>590</v>
      </c>
      <c r="D246" s="170">
        <v>24</v>
      </c>
      <c r="E246" s="147">
        <v>11852.98</v>
      </c>
      <c r="F246" s="247">
        <v>4640013270708</v>
      </c>
    </row>
    <row r="247" spans="1:6" s="203" customFormat="1" ht="12.75" customHeight="1" x14ac:dyDescent="0.25">
      <c r="A247" s="171" t="s">
        <v>636</v>
      </c>
      <c r="B247" s="167"/>
      <c r="C247" s="167"/>
      <c r="D247" s="167"/>
      <c r="E247" s="172"/>
      <c r="F247" s="242"/>
    </row>
    <row r="248" spans="1:6" s="154" customFormat="1" ht="11.25" x14ac:dyDescent="0.2">
      <c r="A248" s="168">
        <v>899248</v>
      </c>
      <c r="B248" s="200" t="s">
        <v>637</v>
      </c>
      <c r="C248" s="170" t="s">
        <v>590</v>
      </c>
      <c r="D248" s="170">
        <v>24</v>
      </c>
      <c r="E248" s="147">
        <v>3745.3</v>
      </c>
      <c r="F248" s="247" t="s">
        <v>638</v>
      </c>
    </row>
    <row r="249" spans="1:6" s="154" customFormat="1" ht="11.25" x14ac:dyDescent="0.2">
      <c r="A249" s="168">
        <v>1289722</v>
      </c>
      <c r="B249" s="200" t="s">
        <v>639</v>
      </c>
      <c r="C249" s="170" t="s">
        <v>590</v>
      </c>
      <c r="D249" s="170">
        <v>24</v>
      </c>
      <c r="E249" s="147">
        <v>4604.3900000000003</v>
      </c>
      <c r="F249" s="247">
        <v>4607144528290</v>
      </c>
    </row>
    <row r="250" spans="1:6" s="154" customFormat="1" ht="11.25" x14ac:dyDescent="0.2">
      <c r="A250" s="168">
        <v>1289723</v>
      </c>
      <c r="B250" s="200" t="s">
        <v>640</v>
      </c>
      <c r="C250" s="170" t="s">
        <v>590</v>
      </c>
      <c r="D250" s="170">
        <v>24</v>
      </c>
      <c r="E250" s="147">
        <v>5115.9799999999996</v>
      </c>
      <c r="F250" s="247">
        <v>4607144528306</v>
      </c>
    </row>
    <row r="251" spans="1:6" s="154" customFormat="1" ht="11.25" x14ac:dyDescent="0.2">
      <c r="A251" s="168">
        <v>1289724</v>
      </c>
      <c r="B251" s="200" t="s">
        <v>641</v>
      </c>
      <c r="C251" s="170" t="s">
        <v>590</v>
      </c>
      <c r="D251" s="170">
        <v>24</v>
      </c>
      <c r="E251" s="147">
        <v>6821.31</v>
      </c>
      <c r="F251" s="247">
        <v>4607144528313</v>
      </c>
    </row>
    <row r="252" spans="1:6" s="154" customFormat="1" ht="11.25" x14ac:dyDescent="0.2">
      <c r="A252" s="168">
        <v>1289725</v>
      </c>
      <c r="B252" s="200" t="s">
        <v>642</v>
      </c>
      <c r="C252" s="170" t="s">
        <v>590</v>
      </c>
      <c r="D252" s="170">
        <v>24</v>
      </c>
      <c r="E252" s="147">
        <v>8526.64</v>
      </c>
      <c r="F252" s="247">
        <v>4607144528320</v>
      </c>
    </row>
    <row r="253" spans="1:6" s="154" customFormat="1" ht="11.25" x14ac:dyDescent="0.2">
      <c r="A253" s="168">
        <v>1289726</v>
      </c>
      <c r="B253" s="200" t="s">
        <v>643</v>
      </c>
      <c r="C253" s="170" t="s">
        <v>590</v>
      </c>
      <c r="D253" s="170">
        <v>24</v>
      </c>
      <c r="E253" s="147">
        <v>10658.3</v>
      </c>
      <c r="F253" s="247">
        <v>4607144528337</v>
      </c>
    </row>
    <row r="254" spans="1:6" s="202" customFormat="1" ht="12.75" customHeight="1" x14ac:dyDescent="0.25">
      <c r="A254" s="171" t="s">
        <v>644</v>
      </c>
      <c r="B254" s="167"/>
      <c r="C254" s="167"/>
      <c r="D254" s="167"/>
      <c r="E254" s="201"/>
      <c r="F254" s="253"/>
    </row>
    <row r="255" spans="1:6" s="154" customFormat="1" ht="11.25" x14ac:dyDescent="0.2">
      <c r="A255" s="168">
        <v>1876932</v>
      </c>
      <c r="B255" s="200" t="s">
        <v>645</v>
      </c>
      <c r="C255" s="170" t="s">
        <v>590</v>
      </c>
      <c r="D255" s="170">
        <v>24</v>
      </c>
      <c r="E255" s="147">
        <v>3370.77</v>
      </c>
      <c r="F255" s="247">
        <v>4640013270715</v>
      </c>
    </row>
    <row r="256" spans="1:6" s="154" customFormat="1" ht="11.25" x14ac:dyDescent="0.2">
      <c r="A256" s="168">
        <v>1876931</v>
      </c>
      <c r="B256" s="200" t="s">
        <v>646</v>
      </c>
      <c r="C256" s="170" t="s">
        <v>590</v>
      </c>
      <c r="D256" s="170">
        <v>24</v>
      </c>
      <c r="E256" s="147">
        <v>4604.3900000000003</v>
      </c>
      <c r="F256" s="247">
        <v>4640013270722</v>
      </c>
    </row>
    <row r="257" spans="1:6" s="154" customFormat="1" ht="11.25" x14ac:dyDescent="0.2">
      <c r="A257" s="168">
        <v>1876918</v>
      </c>
      <c r="B257" s="200" t="s">
        <v>647</v>
      </c>
      <c r="C257" s="170" t="s">
        <v>590</v>
      </c>
      <c r="D257" s="170">
        <v>24</v>
      </c>
      <c r="E257" s="147">
        <v>5115.9799999999996</v>
      </c>
      <c r="F257" s="247">
        <v>4640013270739</v>
      </c>
    </row>
    <row r="258" spans="1:6" s="154" customFormat="1" ht="11.25" x14ac:dyDescent="0.2">
      <c r="A258" s="168">
        <v>1876917</v>
      </c>
      <c r="B258" s="200" t="s">
        <v>648</v>
      </c>
      <c r="C258" s="170" t="s">
        <v>590</v>
      </c>
      <c r="D258" s="170">
        <v>24</v>
      </c>
      <c r="E258" s="147">
        <v>6821.31</v>
      </c>
      <c r="F258" s="247">
        <v>4640013270746</v>
      </c>
    </row>
    <row r="259" spans="1:6" s="154" customFormat="1" ht="11.25" x14ac:dyDescent="0.2">
      <c r="A259" s="168">
        <v>1876916</v>
      </c>
      <c r="B259" s="200" t="s">
        <v>649</v>
      </c>
      <c r="C259" s="170" t="s">
        <v>590</v>
      </c>
      <c r="D259" s="170">
        <v>24</v>
      </c>
      <c r="E259" s="147">
        <v>8526.64</v>
      </c>
      <c r="F259" s="247">
        <v>4640013270753</v>
      </c>
    </row>
    <row r="260" spans="1:6" s="142" customFormat="1" x14ac:dyDescent="0.25">
      <c r="A260" s="632" t="s">
        <v>650</v>
      </c>
      <c r="B260" s="490"/>
      <c r="C260" s="490"/>
      <c r="D260" s="490"/>
      <c r="E260" s="490"/>
      <c r="F260" s="633"/>
    </row>
    <row r="261" spans="1:6" s="142" customFormat="1" ht="12.75" customHeight="1" x14ac:dyDescent="0.25">
      <c r="A261" s="204" t="s">
        <v>651</v>
      </c>
      <c r="B261" s="166"/>
      <c r="C261" s="166"/>
      <c r="D261" s="166"/>
      <c r="E261" s="205"/>
      <c r="F261" s="242"/>
    </row>
    <row r="262" spans="1:6" s="142" customFormat="1" ht="11.25" x14ac:dyDescent="0.2">
      <c r="A262" s="143">
        <v>528317</v>
      </c>
      <c r="B262" s="144" t="s">
        <v>652</v>
      </c>
      <c r="C262" s="145" t="s">
        <v>653</v>
      </c>
      <c r="D262" s="206">
        <v>44</v>
      </c>
      <c r="E262" s="147">
        <v>2179.2399999999998</v>
      </c>
      <c r="F262" s="242" t="s">
        <v>654</v>
      </c>
    </row>
    <row r="263" spans="1:6" s="142" customFormat="1" ht="12.75" customHeight="1" x14ac:dyDescent="0.25">
      <c r="A263" s="165" t="s">
        <v>655</v>
      </c>
      <c r="B263" s="166"/>
      <c r="C263" s="166"/>
      <c r="D263" s="166"/>
      <c r="E263" s="166"/>
      <c r="F263" s="406"/>
    </row>
    <row r="264" spans="1:6" s="154" customFormat="1" ht="11.25" x14ac:dyDescent="0.2">
      <c r="A264" s="168">
        <v>792199</v>
      </c>
      <c r="B264" s="200" t="s">
        <v>656</v>
      </c>
      <c r="C264" s="207" t="s">
        <v>657</v>
      </c>
      <c r="D264" s="208">
        <v>90</v>
      </c>
      <c r="E264" s="147">
        <v>558.83000000000004</v>
      </c>
      <c r="F264" s="253" t="s">
        <v>658</v>
      </c>
    </row>
    <row r="265" spans="1:6" s="154" customFormat="1" ht="11.25" x14ac:dyDescent="0.2">
      <c r="A265" s="168">
        <v>792200</v>
      </c>
      <c r="B265" s="200" t="s">
        <v>659</v>
      </c>
      <c r="C265" s="207" t="s">
        <v>653</v>
      </c>
      <c r="D265" s="209">
        <v>44</v>
      </c>
      <c r="E265" s="147">
        <v>1084.93</v>
      </c>
      <c r="F265" s="253" t="s">
        <v>660</v>
      </c>
    </row>
    <row r="266" spans="1:6" s="154" customFormat="1" ht="11.25" x14ac:dyDescent="0.2">
      <c r="A266" s="168">
        <v>1687549</v>
      </c>
      <c r="B266" s="200" t="s">
        <v>661</v>
      </c>
      <c r="C266" s="207" t="s">
        <v>653</v>
      </c>
      <c r="D266" s="209">
        <v>44</v>
      </c>
      <c r="E266" s="147">
        <v>1801.58</v>
      </c>
      <c r="F266" s="253" t="s">
        <v>662</v>
      </c>
    </row>
    <row r="267" spans="1:6" s="154" customFormat="1" ht="11.25" x14ac:dyDescent="0.2">
      <c r="A267" s="168">
        <v>1687550</v>
      </c>
      <c r="B267" s="200" t="s">
        <v>663</v>
      </c>
      <c r="C267" s="207" t="s">
        <v>653</v>
      </c>
      <c r="D267" s="209">
        <v>44</v>
      </c>
      <c r="E267" s="147">
        <v>1838.35</v>
      </c>
      <c r="F267" s="253" t="s">
        <v>664</v>
      </c>
    </row>
    <row r="268" spans="1:6" s="154" customFormat="1" ht="11.25" x14ac:dyDescent="0.2">
      <c r="A268" s="168">
        <v>1687553</v>
      </c>
      <c r="B268" s="200" t="s">
        <v>665</v>
      </c>
      <c r="C268" s="207" t="s">
        <v>653</v>
      </c>
      <c r="D268" s="209">
        <v>44</v>
      </c>
      <c r="E268" s="147">
        <v>1875.11</v>
      </c>
      <c r="F268" s="253" t="s">
        <v>666</v>
      </c>
    </row>
    <row r="269" spans="1:6" s="154" customFormat="1" ht="11.25" x14ac:dyDescent="0.2">
      <c r="A269" s="168">
        <v>1687551</v>
      </c>
      <c r="B269" s="200" t="s">
        <v>667</v>
      </c>
      <c r="C269" s="207" t="s">
        <v>653</v>
      </c>
      <c r="D269" s="207">
        <v>44</v>
      </c>
      <c r="E269" s="147">
        <v>1967.03</v>
      </c>
      <c r="F269" s="253" t="s">
        <v>668</v>
      </c>
    </row>
    <row r="270" spans="1:6" s="142" customFormat="1" x14ac:dyDescent="0.25">
      <c r="A270" s="404" t="s">
        <v>669</v>
      </c>
      <c r="B270" s="305"/>
      <c r="C270" s="306"/>
      <c r="D270" s="306"/>
      <c r="E270" s="306"/>
      <c r="F270" s="307"/>
    </row>
    <row r="271" spans="1:6" s="142" customFormat="1" ht="11.25" x14ac:dyDescent="0.2">
      <c r="A271" s="143">
        <v>1804804</v>
      </c>
      <c r="B271" s="144" t="s">
        <v>670</v>
      </c>
      <c r="C271" s="145" t="s">
        <v>293</v>
      </c>
      <c r="D271" s="206">
        <v>48</v>
      </c>
      <c r="E271" s="147">
        <v>417.3</v>
      </c>
      <c r="F271" s="246" t="s">
        <v>671</v>
      </c>
    </row>
    <row r="272" spans="1:6" s="142" customFormat="1" ht="11.25" x14ac:dyDescent="0.2">
      <c r="A272" s="143">
        <v>1804805</v>
      </c>
      <c r="B272" s="144" t="s">
        <v>672</v>
      </c>
      <c r="C272" s="145" t="s">
        <v>293</v>
      </c>
      <c r="D272" s="145">
        <v>48</v>
      </c>
      <c r="E272" s="147">
        <v>425.57</v>
      </c>
      <c r="F272" s="246" t="s">
        <v>673</v>
      </c>
    </row>
    <row r="273" spans="1:8" s="217" customFormat="1" ht="13.5" customHeight="1" x14ac:dyDescent="0.25">
      <c r="A273" s="629"/>
      <c r="B273" s="630"/>
      <c r="C273" s="630"/>
      <c r="D273" s="630"/>
      <c r="E273" s="630"/>
      <c r="F273" s="631"/>
    </row>
    <row r="274" spans="1:8" s="217" customFormat="1" ht="12.75" customHeight="1" x14ac:dyDescent="0.2">
      <c r="A274" s="210"/>
      <c r="B274" s="211"/>
      <c r="C274" s="212"/>
      <c r="D274" s="213"/>
      <c r="E274" s="214"/>
      <c r="F274" s="215"/>
      <c r="G274" s="216"/>
      <c r="H274" s="148"/>
    </row>
    <row r="275" spans="1:8" s="17" customFormat="1" ht="15.75" x14ac:dyDescent="0.25">
      <c r="A275" s="210"/>
      <c r="B275" s="224"/>
      <c r="C275" s="237"/>
      <c r="D275" s="237"/>
      <c r="E275" s="238"/>
      <c r="F275" s="239"/>
      <c r="G275" s="240"/>
      <c r="H275" s="148"/>
    </row>
    <row r="276" spans="1:8" s="17" customFormat="1" x14ac:dyDescent="0.25">
      <c r="A276" s="218"/>
      <c r="B276" s="126"/>
      <c r="C276" s="211"/>
      <c r="D276" s="219"/>
      <c r="E276" s="220"/>
      <c r="F276" s="221"/>
      <c r="G276" s="222"/>
      <c r="H276" s="130"/>
    </row>
    <row r="277" spans="1:8" x14ac:dyDescent="0.25">
      <c r="A277" s="223"/>
      <c r="B277" s="126"/>
      <c r="C277" s="224"/>
      <c r="D277" s="224"/>
      <c r="E277" s="225"/>
      <c r="F277" s="224"/>
      <c r="G277" s="226"/>
    </row>
    <row r="278" spans="1:8" ht="14.25" customHeight="1" x14ac:dyDescent="0.25">
      <c r="A278" s="227"/>
      <c r="B278" s="126"/>
      <c r="C278" s="634"/>
      <c r="D278" s="634"/>
      <c r="E278" s="228"/>
      <c r="F278" s="229"/>
      <c r="G278" s="126"/>
    </row>
    <row r="279" spans="1:8" ht="14.25" customHeight="1" x14ac:dyDescent="0.25">
      <c r="A279" s="217"/>
      <c r="B279" s="230"/>
      <c r="C279" s="230"/>
      <c r="D279" s="231"/>
      <c r="E279" s="232"/>
      <c r="F279" s="233"/>
      <c r="H279"/>
    </row>
    <row r="280" spans="1:8" ht="14.25" customHeight="1" x14ac:dyDescent="0.25"/>
    <row r="281" spans="1:8" x14ac:dyDescent="0.25">
      <c r="A281" s="217"/>
      <c r="B281" s="217"/>
      <c r="C281" s="232"/>
      <c r="D281" s="234"/>
      <c r="E281" s="234"/>
      <c r="F281" s="235"/>
      <c r="H281"/>
    </row>
    <row r="282" spans="1:8" x14ac:dyDescent="0.25">
      <c r="A282" s="217"/>
      <c r="B282" s="217"/>
      <c r="C282" s="232"/>
      <c r="D282" s="234"/>
      <c r="E282" s="234"/>
      <c r="F282" s="235"/>
      <c r="H282"/>
    </row>
    <row r="283" spans="1:8" x14ac:dyDescent="0.25">
      <c r="A283" s="17"/>
      <c r="B283" s="17"/>
      <c r="C283" s="17"/>
      <c r="D283" s="17"/>
      <c r="E283" s="232"/>
      <c r="F283" s="17"/>
      <c r="G283" s="17"/>
    </row>
    <row r="284" spans="1:8" x14ac:dyDescent="0.25">
      <c r="A284" s="17"/>
      <c r="B284" s="17"/>
      <c r="C284" s="17"/>
      <c r="D284" s="17"/>
      <c r="E284" s="232"/>
      <c r="F284" s="17"/>
      <c r="G284" s="17"/>
    </row>
  </sheetData>
  <mergeCells count="5">
    <mergeCell ref="A12:F12"/>
    <mergeCell ref="A273:F273"/>
    <mergeCell ref="A260:F260"/>
    <mergeCell ref="A213:F213"/>
    <mergeCell ref="C278:D278"/>
  </mergeCells>
  <hyperlinks>
    <hyperlink ref="B6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48" fitToHeight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10" shapeId="9217" r:id="rId4">
          <objectPr defaultSize="0" autoPict="0" r:id="rId5">
            <anchor moveWithCells="1">
              <from>
                <xdr:col>5</xdr:col>
                <xdr:colOff>542925</xdr:colOff>
                <xdr:row>0</xdr:row>
                <xdr:rowOff>76200</xdr:rowOff>
              </from>
              <to>
                <xdr:col>5</xdr:col>
                <xdr:colOff>1533525</xdr:colOff>
                <xdr:row>2</xdr:row>
                <xdr:rowOff>66675</xdr:rowOff>
              </to>
            </anchor>
          </objectPr>
        </oleObject>
      </mc:Choice>
      <mc:Fallback>
        <oleObject progId="CorelPhotoPaint.Image.10" shapeId="921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88"/>
  <sheetViews>
    <sheetView zoomScale="90" zoomScaleNormal="90" workbookViewId="0">
      <selection activeCell="Q9" sqref="Q9"/>
    </sheetView>
  </sheetViews>
  <sheetFormatPr defaultRowHeight="12.75" x14ac:dyDescent="0.2"/>
  <cols>
    <col min="1" max="1" width="19.140625" style="271" customWidth="1"/>
    <col min="2" max="2" width="16.42578125" style="271" bestFit="1" customWidth="1"/>
    <col min="3" max="3" width="8.85546875" style="271" customWidth="1"/>
    <col min="4" max="4" width="22.7109375" style="272" customWidth="1"/>
    <col min="5" max="5" width="30.28515625" style="272" customWidth="1"/>
    <col min="6" max="6" width="59.7109375" style="272" customWidth="1"/>
    <col min="7" max="7" width="12.42578125" style="271" customWidth="1"/>
    <col min="8" max="8" width="11.140625" style="273" customWidth="1"/>
    <col min="9" max="9" width="13.140625" style="273" customWidth="1"/>
    <col min="10" max="10" width="13.28515625" style="273" customWidth="1"/>
    <col min="11" max="11" width="12.85546875" style="271" customWidth="1"/>
    <col min="12" max="12" width="12.5703125" style="271" bestFit="1" customWidth="1"/>
    <col min="13" max="13" width="17.140625" style="271" bestFit="1" customWidth="1"/>
    <col min="14" max="14" width="16" style="271" customWidth="1"/>
    <col min="15" max="256" width="9.140625" style="274"/>
    <col min="257" max="257" width="19.140625" style="274" customWidth="1"/>
    <col min="258" max="258" width="21.140625" style="274" bestFit="1" customWidth="1"/>
    <col min="259" max="259" width="8" style="274" bestFit="1" customWidth="1"/>
    <col min="260" max="260" width="22.7109375" style="274" customWidth="1"/>
    <col min="261" max="261" width="30.28515625" style="274" customWidth="1"/>
    <col min="262" max="262" width="59.7109375" style="274" customWidth="1"/>
    <col min="263" max="263" width="12.42578125" style="274" customWidth="1"/>
    <col min="264" max="264" width="10.5703125" style="274" customWidth="1"/>
    <col min="265" max="265" width="14.5703125" style="274" customWidth="1"/>
    <col min="266" max="266" width="13.28515625" style="274" customWidth="1"/>
    <col min="267" max="267" width="12.7109375" style="274" customWidth="1"/>
    <col min="268" max="268" width="12.5703125" style="274" bestFit="1" customWidth="1"/>
    <col min="269" max="269" width="17.140625" style="274" bestFit="1" customWidth="1"/>
    <col min="270" max="270" width="15.140625" style="274" bestFit="1" customWidth="1"/>
    <col min="271" max="512" width="9.140625" style="274"/>
    <col min="513" max="513" width="19.140625" style="274" customWidth="1"/>
    <col min="514" max="514" width="21.140625" style="274" bestFit="1" customWidth="1"/>
    <col min="515" max="515" width="8" style="274" bestFit="1" customWidth="1"/>
    <col min="516" max="516" width="22.7109375" style="274" customWidth="1"/>
    <col min="517" max="517" width="30.28515625" style="274" customWidth="1"/>
    <col min="518" max="518" width="59.7109375" style="274" customWidth="1"/>
    <col min="519" max="519" width="12.42578125" style="274" customWidth="1"/>
    <col min="520" max="520" width="10.5703125" style="274" customWidth="1"/>
    <col min="521" max="521" width="14.5703125" style="274" customWidth="1"/>
    <col min="522" max="522" width="13.28515625" style="274" customWidth="1"/>
    <col min="523" max="523" width="12.7109375" style="274" customWidth="1"/>
    <col min="524" max="524" width="12.5703125" style="274" bestFit="1" customWidth="1"/>
    <col min="525" max="525" width="17.140625" style="274" bestFit="1" customWidth="1"/>
    <col min="526" max="526" width="15.140625" style="274" bestFit="1" customWidth="1"/>
    <col min="527" max="768" width="9.140625" style="274"/>
    <col min="769" max="769" width="19.140625" style="274" customWidth="1"/>
    <col min="770" max="770" width="21.140625" style="274" bestFit="1" customWidth="1"/>
    <col min="771" max="771" width="8" style="274" bestFit="1" customWidth="1"/>
    <col min="772" max="772" width="22.7109375" style="274" customWidth="1"/>
    <col min="773" max="773" width="30.28515625" style="274" customWidth="1"/>
    <col min="774" max="774" width="59.7109375" style="274" customWidth="1"/>
    <col min="775" max="775" width="12.42578125" style="274" customWidth="1"/>
    <col min="776" max="776" width="10.5703125" style="274" customWidth="1"/>
    <col min="777" max="777" width="14.5703125" style="274" customWidth="1"/>
    <col min="778" max="778" width="13.28515625" style="274" customWidth="1"/>
    <col min="779" max="779" width="12.7109375" style="274" customWidth="1"/>
    <col min="780" max="780" width="12.5703125" style="274" bestFit="1" customWidth="1"/>
    <col min="781" max="781" width="17.140625" style="274" bestFit="1" customWidth="1"/>
    <col min="782" max="782" width="15.140625" style="274" bestFit="1" customWidth="1"/>
    <col min="783" max="1024" width="9.140625" style="274"/>
    <col min="1025" max="1025" width="19.140625" style="274" customWidth="1"/>
    <col min="1026" max="1026" width="21.140625" style="274" bestFit="1" customWidth="1"/>
    <col min="1027" max="1027" width="8" style="274" bestFit="1" customWidth="1"/>
    <col min="1028" max="1028" width="22.7109375" style="274" customWidth="1"/>
    <col min="1029" max="1029" width="30.28515625" style="274" customWidth="1"/>
    <col min="1030" max="1030" width="59.7109375" style="274" customWidth="1"/>
    <col min="1031" max="1031" width="12.42578125" style="274" customWidth="1"/>
    <col min="1032" max="1032" width="10.5703125" style="274" customWidth="1"/>
    <col min="1033" max="1033" width="14.5703125" style="274" customWidth="1"/>
    <col min="1034" max="1034" width="13.28515625" style="274" customWidth="1"/>
    <col min="1035" max="1035" width="12.7109375" style="274" customWidth="1"/>
    <col min="1036" max="1036" width="12.5703125" style="274" bestFit="1" customWidth="1"/>
    <col min="1037" max="1037" width="17.140625" style="274" bestFit="1" customWidth="1"/>
    <col min="1038" max="1038" width="15.140625" style="274" bestFit="1" customWidth="1"/>
    <col min="1039" max="1280" width="9.140625" style="274"/>
    <col min="1281" max="1281" width="19.140625" style="274" customWidth="1"/>
    <col min="1282" max="1282" width="21.140625" style="274" bestFit="1" customWidth="1"/>
    <col min="1283" max="1283" width="8" style="274" bestFit="1" customWidth="1"/>
    <col min="1284" max="1284" width="22.7109375" style="274" customWidth="1"/>
    <col min="1285" max="1285" width="30.28515625" style="274" customWidth="1"/>
    <col min="1286" max="1286" width="59.7109375" style="274" customWidth="1"/>
    <col min="1287" max="1287" width="12.42578125" style="274" customWidth="1"/>
    <col min="1288" max="1288" width="10.5703125" style="274" customWidth="1"/>
    <col min="1289" max="1289" width="14.5703125" style="274" customWidth="1"/>
    <col min="1290" max="1290" width="13.28515625" style="274" customWidth="1"/>
    <col min="1291" max="1291" width="12.7109375" style="274" customWidth="1"/>
    <col min="1292" max="1292" width="12.5703125" style="274" bestFit="1" customWidth="1"/>
    <col min="1293" max="1293" width="17.140625" style="274" bestFit="1" customWidth="1"/>
    <col min="1294" max="1294" width="15.140625" style="274" bestFit="1" customWidth="1"/>
    <col min="1295" max="1536" width="9.140625" style="274"/>
    <col min="1537" max="1537" width="19.140625" style="274" customWidth="1"/>
    <col min="1538" max="1538" width="21.140625" style="274" bestFit="1" customWidth="1"/>
    <col min="1539" max="1539" width="8" style="274" bestFit="1" customWidth="1"/>
    <col min="1540" max="1540" width="22.7109375" style="274" customWidth="1"/>
    <col min="1541" max="1541" width="30.28515625" style="274" customWidth="1"/>
    <col min="1542" max="1542" width="59.7109375" style="274" customWidth="1"/>
    <col min="1543" max="1543" width="12.42578125" style="274" customWidth="1"/>
    <col min="1544" max="1544" width="10.5703125" style="274" customWidth="1"/>
    <col min="1545" max="1545" width="14.5703125" style="274" customWidth="1"/>
    <col min="1546" max="1546" width="13.28515625" style="274" customWidth="1"/>
    <col min="1547" max="1547" width="12.7109375" style="274" customWidth="1"/>
    <col min="1548" max="1548" width="12.5703125" style="274" bestFit="1" customWidth="1"/>
    <col min="1549" max="1549" width="17.140625" style="274" bestFit="1" customWidth="1"/>
    <col min="1550" max="1550" width="15.140625" style="274" bestFit="1" customWidth="1"/>
    <col min="1551" max="1792" width="9.140625" style="274"/>
    <col min="1793" max="1793" width="19.140625" style="274" customWidth="1"/>
    <col min="1794" max="1794" width="21.140625" style="274" bestFit="1" customWidth="1"/>
    <col min="1795" max="1795" width="8" style="274" bestFit="1" customWidth="1"/>
    <col min="1796" max="1796" width="22.7109375" style="274" customWidth="1"/>
    <col min="1797" max="1797" width="30.28515625" style="274" customWidth="1"/>
    <col min="1798" max="1798" width="59.7109375" style="274" customWidth="1"/>
    <col min="1799" max="1799" width="12.42578125" style="274" customWidth="1"/>
    <col min="1800" max="1800" width="10.5703125" style="274" customWidth="1"/>
    <col min="1801" max="1801" width="14.5703125" style="274" customWidth="1"/>
    <col min="1802" max="1802" width="13.28515625" style="274" customWidth="1"/>
    <col min="1803" max="1803" width="12.7109375" style="274" customWidth="1"/>
    <col min="1804" max="1804" width="12.5703125" style="274" bestFit="1" customWidth="1"/>
    <col min="1805" max="1805" width="17.140625" style="274" bestFit="1" customWidth="1"/>
    <col min="1806" max="1806" width="15.140625" style="274" bestFit="1" customWidth="1"/>
    <col min="1807" max="2048" width="9.140625" style="274"/>
    <col min="2049" max="2049" width="19.140625" style="274" customWidth="1"/>
    <col min="2050" max="2050" width="21.140625" style="274" bestFit="1" customWidth="1"/>
    <col min="2051" max="2051" width="8" style="274" bestFit="1" customWidth="1"/>
    <col min="2052" max="2052" width="22.7109375" style="274" customWidth="1"/>
    <col min="2053" max="2053" width="30.28515625" style="274" customWidth="1"/>
    <col min="2054" max="2054" width="59.7109375" style="274" customWidth="1"/>
    <col min="2055" max="2055" width="12.42578125" style="274" customWidth="1"/>
    <col min="2056" max="2056" width="10.5703125" style="274" customWidth="1"/>
    <col min="2057" max="2057" width="14.5703125" style="274" customWidth="1"/>
    <col min="2058" max="2058" width="13.28515625" style="274" customWidth="1"/>
    <col min="2059" max="2059" width="12.7109375" style="274" customWidth="1"/>
    <col min="2060" max="2060" width="12.5703125" style="274" bestFit="1" customWidth="1"/>
    <col min="2061" max="2061" width="17.140625" style="274" bestFit="1" customWidth="1"/>
    <col min="2062" max="2062" width="15.140625" style="274" bestFit="1" customWidth="1"/>
    <col min="2063" max="2304" width="9.140625" style="274"/>
    <col min="2305" max="2305" width="19.140625" style="274" customWidth="1"/>
    <col min="2306" max="2306" width="21.140625" style="274" bestFit="1" customWidth="1"/>
    <col min="2307" max="2307" width="8" style="274" bestFit="1" customWidth="1"/>
    <col min="2308" max="2308" width="22.7109375" style="274" customWidth="1"/>
    <col min="2309" max="2309" width="30.28515625" style="274" customWidth="1"/>
    <col min="2310" max="2310" width="59.7109375" style="274" customWidth="1"/>
    <col min="2311" max="2311" width="12.42578125" style="274" customWidth="1"/>
    <col min="2312" max="2312" width="10.5703125" style="274" customWidth="1"/>
    <col min="2313" max="2313" width="14.5703125" style="274" customWidth="1"/>
    <col min="2314" max="2314" width="13.28515625" style="274" customWidth="1"/>
    <col min="2315" max="2315" width="12.7109375" style="274" customWidth="1"/>
    <col min="2316" max="2316" width="12.5703125" style="274" bestFit="1" customWidth="1"/>
    <col min="2317" max="2317" width="17.140625" style="274" bestFit="1" customWidth="1"/>
    <col min="2318" max="2318" width="15.140625" style="274" bestFit="1" customWidth="1"/>
    <col min="2319" max="2560" width="9.140625" style="274"/>
    <col min="2561" max="2561" width="19.140625" style="274" customWidth="1"/>
    <col min="2562" max="2562" width="21.140625" style="274" bestFit="1" customWidth="1"/>
    <col min="2563" max="2563" width="8" style="274" bestFit="1" customWidth="1"/>
    <col min="2564" max="2564" width="22.7109375" style="274" customWidth="1"/>
    <col min="2565" max="2565" width="30.28515625" style="274" customWidth="1"/>
    <col min="2566" max="2566" width="59.7109375" style="274" customWidth="1"/>
    <col min="2567" max="2567" width="12.42578125" style="274" customWidth="1"/>
    <col min="2568" max="2568" width="10.5703125" style="274" customWidth="1"/>
    <col min="2569" max="2569" width="14.5703125" style="274" customWidth="1"/>
    <col min="2570" max="2570" width="13.28515625" style="274" customWidth="1"/>
    <col min="2571" max="2571" width="12.7109375" style="274" customWidth="1"/>
    <col min="2572" max="2572" width="12.5703125" style="274" bestFit="1" customWidth="1"/>
    <col min="2573" max="2573" width="17.140625" style="274" bestFit="1" customWidth="1"/>
    <col min="2574" max="2574" width="15.140625" style="274" bestFit="1" customWidth="1"/>
    <col min="2575" max="2816" width="9.140625" style="274"/>
    <col min="2817" max="2817" width="19.140625" style="274" customWidth="1"/>
    <col min="2818" max="2818" width="21.140625" style="274" bestFit="1" customWidth="1"/>
    <col min="2819" max="2819" width="8" style="274" bestFit="1" customWidth="1"/>
    <col min="2820" max="2820" width="22.7109375" style="274" customWidth="1"/>
    <col min="2821" max="2821" width="30.28515625" style="274" customWidth="1"/>
    <col min="2822" max="2822" width="59.7109375" style="274" customWidth="1"/>
    <col min="2823" max="2823" width="12.42578125" style="274" customWidth="1"/>
    <col min="2824" max="2824" width="10.5703125" style="274" customWidth="1"/>
    <col min="2825" max="2825" width="14.5703125" style="274" customWidth="1"/>
    <col min="2826" max="2826" width="13.28515625" style="274" customWidth="1"/>
    <col min="2827" max="2827" width="12.7109375" style="274" customWidth="1"/>
    <col min="2828" max="2828" width="12.5703125" style="274" bestFit="1" customWidth="1"/>
    <col min="2829" max="2829" width="17.140625" style="274" bestFit="1" customWidth="1"/>
    <col min="2830" max="2830" width="15.140625" style="274" bestFit="1" customWidth="1"/>
    <col min="2831" max="3072" width="9.140625" style="274"/>
    <col min="3073" max="3073" width="19.140625" style="274" customWidth="1"/>
    <col min="3074" max="3074" width="21.140625" style="274" bestFit="1" customWidth="1"/>
    <col min="3075" max="3075" width="8" style="274" bestFit="1" customWidth="1"/>
    <col min="3076" max="3076" width="22.7109375" style="274" customWidth="1"/>
    <col min="3077" max="3077" width="30.28515625" style="274" customWidth="1"/>
    <col min="3078" max="3078" width="59.7109375" style="274" customWidth="1"/>
    <col min="3079" max="3079" width="12.42578125" style="274" customWidth="1"/>
    <col min="3080" max="3080" width="10.5703125" style="274" customWidth="1"/>
    <col min="3081" max="3081" width="14.5703125" style="274" customWidth="1"/>
    <col min="3082" max="3082" width="13.28515625" style="274" customWidth="1"/>
    <col min="3083" max="3083" width="12.7109375" style="274" customWidth="1"/>
    <col min="3084" max="3084" width="12.5703125" style="274" bestFit="1" customWidth="1"/>
    <col min="3085" max="3085" width="17.140625" style="274" bestFit="1" customWidth="1"/>
    <col min="3086" max="3086" width="15.140625" style="274" bestFit="1" customWidth="1"/>
    <col min="3087" max="3328" width="9.140625" style="274"/>
    <col min="3329" max="3329" width="19.140625" style="274" customWidth="1"/>
    <col min="3330" max="3330" width="21.140625" style="274" bestFit="1" customWidth="1"/>
    <col min="3331" max="3331" width="8" style="274" bestFit="1" customWidth="1"/>
    <col min="3332" max="3332" width="22.7109375" style="274" customWidth="1"/>
    <col min="3333" max="3333" width="30.28515625" style="274" customWidth="1"/>
    <col min="3334" max="3334" width="59.7109375" style="274" customWidth="1"/>
    <col min="3335" max="3335" width="12.42578125" style="274" customWidth="1"/>
    <col min="3336" max="3336" width="10.5703125" style="274" customWidth="1"/>
    <col min="3337" max="3337" width="14.5703125" style="274" customWidth="1"/>
    <col min="3338" max="3338" width="13.28515625" style="274" customWidth="1"/>
    <col min="3339" max="3339" width="12.7109375" style="274" customWidth="1"/>
    <col min="3340" max="3340" width="12.5703125" style="274" bestFit="1" customWidth="1"/>
    <col min="3341" max="3341" width="17.140625" style="274" bestFit="1" customWidth="1"/>
    <col min="3342" max="3342" width="15.140625" style="274" bestFit="1" customWidth="1"/>
    <col min="3343" max="3584" width="9.140625" style="274"/>
    <col min="3585" max="3585" width="19.140625" style="274" customWidth="1"/>
    <col min="3586" max="3586" width="21.140625" style="274" bestFit="1" customWidth="1"/>
    <col min="3587" max="3587" width="8" style="274" bestFit="1" customWidth="1"/>
    <col min="3588" max="3588" width="22.7109375" style="274" customWidth="1"/>
    <col min="3589" max="3589" width="30.28515625" style="274" customWidth="1"/>
    <col min="3590" max="3590" width="59.7109375" style="274" customWidth="1"/>
    <col min="3591" max="3591" width="12.42578125" style="274" customWidth="1"/>
    <col min="3592" max="3592" width="10.5703125" style="274" customWidth="1"/>
    <col min="3593" max="3593" width="14.5703125" style="274" customWidth="1"/>
    <col min="3594" max="3594" width="13.28515625" style="274" customWidth="1"/>
    <col min="3595" max="3595" width="12.7109375" style="274" customWidth="1"/>
    <col min="3596" max="3596" width="12.5703125" style="274" bestFit="1" customWidth="1"/>
    <col min="3597" max="3597" width="17.140625" style="274" bestFit="1" customWidth="1"/>
    <col min="3598" max="3598" width="15.140625" style="274" bestFit="1" customWidth="1"/>
    <col min="3599" max="3840" width="9.140625" style="274"/>
    <col min="3841" max="3841" width="19.140625" style="274" customWidth="1"/>
    <col min="3842" max="3842" width="21.140625" style="274" bestFit="1" customWidth="1"/>
    <col min="3843" max="3843" width="8" style="274" bestFit="1" customWidth="1"/>
    <col min="3844" max="3844" width="22.7109375" style="274" customWidth="1"/>
    <col min="3845" max="3845" width="30.28515625" style="274" customWidth="1"/>
    <col min="3846" max="3846" width="59.7109375" style="274" customWidth="1"/>
    <col min="3847" max="3847" width="12.42578125" style="274" customWidth="1"/>
    <col min="3848" max="3848" width="10.5703125" style="274" customWidth="1"/>
    <col min="3849" max="3849" width="14.5703125" style="274" customWidth="1"/>
    <col min="3850" max="3850" width="13.28515625" style="274" customWidth="1"/>
    <col min="3851" max="3851" width="12.7109375" style="274" customWidth="1"/>
    <col min="3852" max="3852" width="12.5703125" style="274" bestFit="1" customWidth="1"/>
    <col min="3853" max="3853" width="17.140625" style="274" bestFit="1" customWidth="1"/>
    <col min="3854" max="3854" width="15.140625" style="274" bestFit="1" customWidth="1"/>
    <col min="3855" max="4096" width="9.140625" style="274"/>
    <col min="4097" max="4097" width="19.140625" style="274" customWidth="1"/>
    <col min="4098" max="4098" width="21.140625" style="274" bestFit="1" customWidth="1"/>
    <col min="4099" max="4099" width="8" style="274" bestFit="1" customWidth="1"/>
    <col min="4100" max="4100" width="22.7109375" style="274" customWidth="1"/>
    <col min="4101" max="4101" width="30.28515625" style="274" customWidth="1"/>
    <col min="4102" max="4102" width="59.7109375" style="274" customWidth="1"/>
    <col min="4103" max="4103" width="12.42578125" style="274" customWidth="1"/>
    <col min="4104" max="4104" width="10.5703125" style="274" customWidth="1"/>
    <col min="4105" max="4105" width="14.5703125" style="274" customWidth="1"/>
    <col min="4106" max="4106" width="13.28515625" style="274" customWidth="1"/>
    <col min="4107" max="4107" width="12.7109375" style="274" customWidth="1"/>
    <col min="4108" max="4108" width="12.5703125" style="274" bestFit="1" customWidth="1"/>
    <col min="4109" max="4109" width="17.140625" style="274" bestFit="1" customWidth="1"/>
    <col min="4110" max="4110" width="15.140625" style="274" bestFit="1" customWidth="1"/>
    <col min="4111" max="4352" width="9.140625" style="274"/>
    <col min="4353" max="4353" width="19.140625" style="274" customWidth="1"/>
    <col min="4354" max="4354" width="21.140625" style="274" bestFit="1" customWidth="1"/>
    <col min="4355" max="4355" width="8" style="274" bestFit="1" customWidth="1"/>
    <col min="4356" max="4356" width="22.7109375" style="274" customWidth="1"/>
    <col min="4357" max="4357" width="30.28515625" style="274" customWidth="1"/>
    <col min="4358" max="4358" width="59.7109375" style="274" customWidth="1"/>
    <col min="4359" max="4359" width="12.42578125" style="274" customWidth="1"/>
    <col min="4360" max="4360" width="10.5703125" style="274" customWidth="1"/>
    <col min="4361" max="4361" width="14.5703125" style="274" customWidth="1"/>
    <col min="4362" max="4362" width="13.28515625" style="274" customWidth="1"/>
    <col min="4363" max="4363" width="12.7109375" style="274" customWidth="1"/>
    <col min="4364" max="4364" width="12.5703125" style="274" bestFit="1" customWidth="1"/>
    <col min="4365" max="4365" width="17.140625" style="274" bestFit="1" customWidth="1"/>
    <col min="4366" max="4366" width="15.140625" style="274" bestFit="1" customWidth="1"/>
    <col min="4367" max="4608" width="9.140625" style="274"/>
    <col min="4609" max="4609" width="19.140625" style="274" customWidth="1"/>
    <col min="4610" max="4610" width="21.140625" style="274" bestFit="1" customWidth="1"/>
    <col min="4611" max="4611" width="8" style="274" bestFit="1" customWidth="1"/>
    <col min="4612" max="4612" width="22.7109375" style="274" customWidth="1"/>
    <col min="4613" max="4613" width="30.28515625" style="274" customWidth="1"/>
    <col min="4614" max="4614" width="59.7109375" style="274" customWidth="1"/>
    <col min="4615" max="4615" width="12.42578125" style="274" customWidth="1"/>
    <col min="4616" max="4616" width="10.5703125" style="274" customWidth="1"/>
    <col min="4617" max="4617" width="14.5703125" style="274" customWidth="1"/>
    <col min="4618" max="4618" width="13.28515625" style="274" customWidth="1"/>
    <col min="4619" max="4619" width="12.7109375" style="274" customWidth="1"/>
    <col min="4620" max="4620" width="12.5703125" style="274" bestFit="1" customWidth="1"/>
    <col min="4621" max="4621" width="17.140625" style="274" bestFit="1" customWidth="1"/>
    <col min="4622" max="4622" width="15.140625" style="274" bestFit="1" customWidth="1"/>
    <col min="4623" max="4864" width="9.140625" style="274"/>
    <col min="4865" max="4865" width="19.140625" style="274" customWidth="1"/>
    <col min="4866" max="4866" width="21.140625" style="274" bestFit="1" customWidth="1"/>
    <col min="4867" max="4867" width="8" style="274" bestFit="1" customWidth="1"/>
    <col min="4868" max="4868" width="22.7109375" style="274" customWidth="1"/>
    <col min="4869" max="4869" width="30.28515625" style="274" customWidth="1"/>
    <col min="4870" max="4870" width="59.7109375" style="274" customWidth="1"/>
    <col min="4871" max="4871" width="12.42578125" style="274" customWidth="1"/>
    <col min="4872" max="4872" width="10.5703125" style="274" customWidth="1"/>
    <col min="4873" max="4873" width="14.5703125" style="274" customWidth="1"/>
    <col min="4874" max="4874" width="13.28515625" style="274" customWidth="1"/>
    <col min="4875" max="4875" width="12.7109375" style="274" customWidth="1"/>
    <col min="4876" max="4876" width="12.5703125" style="274" bestFit="1" customWidth="1"/>
    <col min="4877" max="4877" width="17.140625" style="274" bestFit="1" customWidth="1"/>
    <col min="4878" max="4878" width="15.140625" style="274" bestFit="1" customWidth="1"/>
    <col min="4879" max="5120" width="9.140625" style="274"/>
    <col min="5121" max="5121" width="19.140625" style="274" customWidth="1"/>
    <col min="5122" max="5122" width="21.140625" style="274" bestFit="1" customWidth="1"/>
    <col min="5123" max="5123" width="8" style="274" bestFit="1" customWidth="1"/>
    <col min="5124" max="5124" width="22.7109375" style="274" customWidth="1"/>
    <col min="5125" max="5125" width="30.28515625" style="274" customWidth="1"/>
    <col min="5126" max="5126" width="59.7109375" style="274" customWidth="1"/>
    <col min="5127" max="5127" width="12.42578125" style="274" customWidth="1"/>
    <col min="5128" max="5128" width="10.5703125" style="274" customWidth="1"/>
    <col min="5129" max="5129" width="14.5703125" style="274" customWidth="1"/>
    <col min="5130" max="5130" width="13.28515625" style="274" customWidth="1"/>
    <col min="5131" max="5131" width="12.7109375" style="274" customWidth="1"/>
    <col min="5132" max="5132" width="12.5703125" style="274" bestFit="1" customWidth="1"/>
    <col min="5133" max="5133" width="17.140625" style="274" bestFit="1" customWidth="1"/>
    <col min="5134" max="5134" width="15.140625" style="274" bestFit="1" customWidth="1"/>
    <col min="5135" max="5376" width="9.140625" style="274"/>
    <col min="5377" max="5377" width="19.140625" style="274" customWidth="1"/>
    <col min="5378" max="5378" width="21.140625" style="274" bestFit="1" customWidth="1"/>
    <col min="5379" max="5379" width="8" style="274" bestFit="1" customWidth="1"/>
    <col min="5380" max="5380" width="22.7109375" style="274" customWidth="1"/>
    <col min="5381" max="5381" width="30.28515625" style="274" customWidth="1"/>
    <col min="5382" max="5382" width="59.7109375" style="274" customWidth="1"/>
    <col min="5383" max="5383" width="12.42578125" style="274" customWidth="1"/>
    <col min="5384" max="5384" width="10.5703125" style="274" customWidth="1"/>
    <col min="5385" max="5385" width="14.5703125" style="274" customWidth="1"/>
    <col min="5386" max="5386" width="13.28515625" style="274" customWidth="1"/>
    <col min="5387" max="5387" width="12.7109375" style="274" customWidth="1"/>
    <col min="5388" max="5388" width="12.5703125" style="274" bestFit="1" customWidth="1"/>
    <col min="5389" max="5389" width="17.140625" style="274" bestFit="1" customWidth="1"/>
    <col min="5390" max="5390" width="15.140625" style="274" bestFit="1" customWidth="1"/>
    <col min="5391" max="5632" width="9.140625" style="274"/>
    <col min="5633" max="5633" width="19.140625" style="274" customWidth="1"/>
    <col min="5634" max="5634" width="21.140625" style="274" bestFit="1" customWidth="1"/>
    <col min="5635" max="5635" width="8" style="274" bestFit="1" customWidth="1"/>
    <col min="5636" max="5636" width="22.7109375" style="274" customWidth="1"/>
    <col min="5637" max="5637" width="30.28515625" style="274" customWidth="1"/>
    <col min="5638" max="5638" width="59.7109375" style="274" customWidth="1"/>
    <col min="5639" max="5639" width="12.42578125" style="274" customWidth="1"/>
    <col min="5640" max="5640" width="10.5703125" style="274" customWidth="1"/>
    <col min="5641" max="5641" width="14.5703125" style="274" customWidth="1"/>
    <col min="5642" max="5642" width="13.28515625" style="274" customWidth="1"/>
    <col min="5643" max="5643" width="12.7109375" style="274" customWidth="1"/>
    <col min="5644" max="5644" width="12.5703125" style="274" bestFit="1" customWidth="1"/>
    <col min="5645" max="5645" width="17.140625" style="274" bestFit="1" customWidth="1"/>
    <col min="5646" max="5646" width="15.140625" style="274" bestFit="1" customWidth="1"/>
    <col min="5647" max="5888" width="9.140625" style="274"/>
    <col min="5889" max="5889" width="19.140625" style="274" customWidth="1"/>
    <col min="5890" max="5890" width="21.140625" style="274" bestFit="1" customWidth="1"/>
    <col min="5891" max="5891" width="8" style="274" bestFit="1" customWidth="1"/>
    <col min="5892" max="5892" width="22.7109375" style="274" customWidth="1"/>
    <col min="5893" max="5893" width="30.28515625" style="274" customWidth="1"/>
    <col min="5894" max="5894" width="59.7109375" style="274" customWidth="1"/>
    <col min="5895" max="5895" width="12.42578125" style="274" customWidth="1"/>
    <col min="5896" max="5896" width="10.5703125" style="274" customWidth="1"/>
    <col min="5897" max="5897" width="14.5703125" style="274" customWidth="1"/>
    <col min="5898" max="5898" width="13.28515625" style="274" customWidth="1"/>
    <col min="5899" max="5899" width="12.7109375" style="274" customWidth="1"/>
    <col min="5900" max="5900" width="12.5703125" style="274" bestFit="1" customWidth="1"/>
    <col min="5901" max="5901" width="17.140625" style="274" bestFit="1" customWidth="1"/>
    <col min="5902" max="5902" width="15.140625" style="274" bestFit="1" customWidth="1"/>
    <col min="5903" max="6144" width="9.140625" style="274"/>
    <col min="6145" max="6145" width="19.140625" style="274" customWidth="1"/>
    <col min="6146" max="6146" width="21.140625" style="274" bestFit="1" customWidth="1"/>
    <col min="6147" max="6147" width="8" style="274" bestFit="1" customWidth="1"/>
    <col min="6148" max="6148" width="22.7109375" style="274" customWidth="1"/>
    <col min="6149" max="6149" width="30.28515625" style="274" customWidth="1"/>
    <col min="6150" max="6150" width="59.7109375" style="274" customWidth="1"/>
    <col min="6151" max="6151" width="12.42578125" style="274" customWidth="1"/>
    <col min="6152" max="6152" width="10.5703125" style="274" customWidth="1"/>
    <col min="6153" max="6153" width="14.5703125" style="274" customWidth="1"/>
    <col min="6154" max="6154" width="13.28515625" style="274" customWidth="1"/>
    <col min="6155" max="6155" width="12.7109375" style="274" customWidth="1"/>
    <col min="6156" max="6156" width="12.5703125" style="274" bestFit="1" customWidth="1"/>
    <col min="6157" max="6157" width="17.140625" style="274" bestFit="1" customWidth="1"/>
    <col min="6158" max="6158" width="15.140625" style="274" bestFit="1" customWidth="1"/>
    <col min="6159" max="6400" width="9.140625" style="274"/>
    <col min="6401" max="6401" width="19.140625" style="274" customWidth="1"/>
    <col min="6402" max="6402" width="21.140625" style="274" bestFit="1" customWidth="1"/>
    <col min="6403" max="6403" width="8" style="274" bestFit="1" customWidth="1"/>
    <col min="6404" max="6404" width="22.7109375" style="274" customWidth="1"/>
    <col min="6405" max="6405" width="30.28515625" style="274" customWidth="1"/>
    <col min="6406" max="6406" width="59.7109375" style="274" customWidth="1"/>
    <col min="6407" max="6407" width="12.42578125" style="274" customWidth="1"/>
    <col min="6408" max="6408" width="10.5703125" style="274" customWidth="1"/>
    <col min="6409" max="6409" width="14.5703125" style="274" customWidth="1"/>
    <col min="6410" max="6410" width="13.28515625" style="274" customWidth="1"/>
    <col min="6411" max="6411" width="12.7109375" style="274" customWidth="1"/>
    <col min="6412" max="6412" width="12.5703125" style="274" bestFit="1" customWidth="1"/>
    <col min="6413" max="6413" width="17.140625" style="274" bestFit="1" customWidth="1"/>
    <col min="6414" max="6414" width="15.140625" style="274" bestFit="1" customWidth="1"/>
    <col min="6415" max="6656" width="9.140625" style="274"/>
    <col min="6657" max="6657" width="19.140625" style="274" customWidth="1"/>
    <col min="6658" max="6658" width="21.140625" style="274" bestFit="1" customWidth="1"/>
    <col min="6659" max="6659" width="8" style="274" bestFit="1" customWidth="1"/>
    <col min="6660" max="6660" width="22.7109375" style="274" customWidth="1"/>
    <col min="6661" max="6661" width="30.28515625" style="274" customWidth="1"/>
    <col min="6662" max="6662" width="59.7109375" style="274" customWidth="1"/>
    <col min="6663" max="6663" width="12.42578125" style="274" customWidth="1"/>
    <col min="6664" max="6664" width="10.5703125" style="274" customWidth="1"/>
    <col min="6665" max="6665" width="14.5703125" style="274" customWidth="1"/>
    <col min="6666" max="6666" width="13.28515625" style="274" customWidth="1"/>
    <col min="6667" max="6667" width="12.7109375" style="274" customWidth="1"/>
    <col min="6668" max="6668" width="12.5703125" style="274" bestFit="1" customWidth="1"/>
    <col min="6669" max="6669" width="17.140625" style="274" bestFit="1" customWidth="1"/>
    <col min="6670" max="6670" width="15.140625" style="274" bestFit="1" customWidth="1"/>
    <col min="6671" max="6912" width="9.140625" style="274"/>
    <col min="6913" max="6913" width="19.140625" style="274" customWidth="1"/>
    <col min="6914" max="6914" width="21.140625" style="274" bestFit="1" customWidth="1"/>
    <col min="6915" max="6915" width="8" style="274" bestFit="1" customWidth="1"/>
    <col min="6916" max="6916" width="22.7109375" style="274" customWidth="1"/>
    <col min="6917" max="6917" width="30.28515625" style="274" customWidth="1"/>
    <col min="6918" max="6918" width="59.7109375" style="274" customWidth="1"/>
    <col min="6919" max="6919" width="12.42578125" style="274" customWidth="1"/>
    <col min="6920" max="6920" width="10.5703125" style="274" customWidth="1"/>
    <col min="6921" max="6921" width="14.5703125" style="274" customWidth="1"/>
    <col min="6922" max="6922" width="13.28515625" style="274" customWidth="1"/>
    <col min="6923" max="6923" width="12.7109375" style="274" customWidth="1"/>
    <col min="6924" max="6924" width="12.5703125" style="274" bestFit="1" customWidth="1"/>
    <col min="6925" max="6925" width="17.140625" style="274" bestFit="1" customWidth="1"/>
    <col min="6926" max="6926" width="15.140625" style="274" bestFit="1" customWidth="1"/>
    <col min="6927" max="7168" width="9.140625" style="274"/>
    <col min="7169" max="7169" width="19.140625" style="274" customWidth="1"/>
    <col min="7170" max="7170" width="21.140625" style="274" bestFit="1" customWidth="1"/>
    <col min="7171" max="7171" width="8" style="274" bestFit="1" customWidth="1"/>
    <col min="7172" max="7172" width="22.7109375" style="274" customWidth="1"/>
    <col min="7173" max="7173" width="30.28515625" style="274" customWidth="1"/>
    <col min="7174" max="7174" width="59.7109375" style="274" customWidth="1"/>
    <col min="7175" max="7175" width="12.42578125" style="274" customWidth="1"/>
    <col min="7176" max="7176" width="10.5703125" style="274" customWidth="1"/>
    <col min="7177" max="7177" width="14.5703125" style="274" customWidth="1"/>
    <col min="7178" max="7178" width="13.28515625" style="274" customWidth="1"/>
    <col min="7179" max="7179" width="12.7109375" style="274" customWidth="1"/>
    <col min="7180" max="7180" width="12.5703125" style="274" bestFit="1" customWidth="1"/>
    <col min="7181" max="7181" width="17.140625" style="274" bestFit="1" customWidth="1"/>
    <col min="7182" max="7182" width="15.140625" style="274" bestFit="1" customWidth="1"/>
    <col min="7183" max="7424" width="9.140625" style="274"/>
    <col min="7425" max="7425" width="19.140625" style="274" customWidth="1"/>
    <col min="7426" max="7426" width="21.140625" style="274" bestFit="1" customWidth="1"/>
    <col min="7427" max="7427" width="8" style="274" bestFit="1" customWidth="1"/>
    <col min="7428" max="7428" width="22.7109375" style="274" customWidth="1"/>
    <col min="7429" max="7429" width="30.28515625" style="274" customWidth="1"/>
    <col min="7430" max="7430" width="59.7109375" style="274" customWidth="1"/>
    <col min="7431" max="7431" width="12.42578125" style="274" customWidth="1"/>
    <col min="7432" max="7432" width="10.5703125" style="274" customWidth="1"/>
    <col min="7433" max="7433" width="14.5703125" style="274" customWidth="1"/>
    <col min="7434" max="7434" width="13.28515625" style="274" customWidth="1"/>
    <col min="7435" max="7435" width="12.7109375" style="274" customWidth="1"/>
    <col min="7436" max="7436" width="12.5703125" style="274" bestFit="1" customWidth="1"/>
    <col min="7437" max="7437" width="17.140625" style="274" bestFit="1" customWidth="1"/>
    <col min="7438" max="7438" width="15.140625" style="274" bestFit="1" customWidth="1"/>
    <col min="7439" max="7680" width="9.140625" style="274"/>
    <col min="7681" max="7681" width="19.140625" style="274" customWidth="1"/>
    <col min="7682" max="7682" width="21.140625" style="274" bestFit="1" customWidth="1"/>
    <col min="7683" max="7683" width="8" style="274" bestFit="1" customWidth="1"/>
    <col min="7684" max="7684" width="22.7109375" style="274" customWidth="1"/>
    <col min="7685" max="7685" width="30.28515625" style="274" customWidth="1"/>
    <col min="7686" max="7686" width="59.7109375" style="274" customWidth="1"/>
    <col min="7687" max="7687" width="12.42578125" style="274" customWidth="1"/>
    <col min="7688" max="7688" width="10.5703125" style="274" customWidth="1"/>
    <col min="7689" max="7689" width="14.5703125" style="274" customWidth="1"/>
    <col min="7690" max="7690" width="13.28515625" style="274" customWidth="1"/>
    <col min="7691" max="7691" width="12.7109375" style="274" customWidth="1"/>
    <col min="7692" max="7692" width="12.5703125" style="274" bestFit="1" customWidth="1"/>
    <col min="7693" max="7693" width="17.140625" style="274" bestFit="1" customWidth="1"/>
    <col min="7694" max="7694" width="15.140625" style="274" bestFit="1" customWidth="1"/>
    <col min="7695" max="7936" width="9.140625" style="274"/>
    <col min="7937" max="7937" width="19.140625" style="274" customWidth="1"/>
    <col min="7938" max="7938" width="21.140625" style="274" bestFit="1" customWidth="1"/>
    <col min="7939" max="7939" width="8" style="274" bestFit="1" customWidth="1"/>
    <col min="7940" max="7940" width="22.7109375" style="274" customWidth="1"/>
    <col min="7941" max="7941" width="30.28515625" style="274" customWidth="1"/>
    <col min="7942" max="7942" width="59.7109375" style="274" customWidth="1"/>
    <col min="7943" max="7943" width="12.42578125" style="274" customWidth="1"/>
    <col min="7944" max="7944" width="10.5703125" style="274" customWidth="1"/>
    <col min="7945" max="7945" width="14.5703125" style="274" customWidth="1"/>
    <col min="7946" max="7946" width="13.28515625" style="274" customWidth="1"/>
    <col min="7947" max="7947" width="12.7109375" style="274" customWidth="1"/>
    <col min="7948" max="7948" width="12.5703125" style="274" bestFit="1" customWidth="1"/>
    <col min="7949" max="7949" width="17.140625" style="274" bestFit="1" customWidth="1"/>
    <col min="7950" max="7950" width="15.140625" style="274" bestFit="1" customWidth="1"/>
    <col min="7951" max="8192" width="9.140625" style="274"/>
    <col min="8193" max="8193" width="19.140625" style="274" customWidth="1"/>
    <col min="8194" max="8194" width="21.140625" style="274" bestFit="1" customWidth="1"/>
    <col min="8195" max="8195" width="8" style="274" bestFit="1" customWidth="1"/>
    <col min="8196" max="8196" width="22.7109375" style="274" customWidth="1"/>
    <col min="8197" max="8197" width="30.28515625" style="274" customWidth="1"/>
    <col min="8198" max="8198" width="59.7109375" style="274" customWidth="1"/>
    <col min="8199" max="8199" width="12.42578125" style="274" customWidth="1"/>
    <col min="8200" max="8200" width="10.5703125" style="274" customWidth="1"/>
    <col min="8201" max="8201" width="14.5703125" style="274" customWidth="1"/>
    <col min="8202" max="8202" width="13.28515625" style="274" customWidth="1"/>
    <col min="8203" max="8203" width="12.7109375" style="274" customWidth="1"/>
    <col min="8204" max="8204" width="12.5703125" style="274" bestFit="1" customWidth="1"/>
    <col min="8205" max="8205" width="17.140625" style="274" bestFit="1" customWidth="1"/>
    <col min="8206" max="8206" width="15.140625" style="274" bestFit="1" customWidth="1"/>
    <col min="8207" max="8448" width="9.140625" style="274"/>
    <col min="8449" max="8449" width="19.140625" style="274" customWidth="1"/>
    <col min="8450" max="8450" width="21.140625" style="274" bestFit="1" customWidth="1"/>
    <col min="8451" max="8451" width="8" style="274" bestFit="1" customWidth="1"/>
    <col min="8452" max="8452" width="22.7109375" style="274" customWidth="1"/>
    <col min="8453" max="8453" width="30.28515625" style="274" customWidth="1"/>
    <col min="8454" max="8454" width="59.7109375" style="274" customWidth="1"/>
    <col min="8455" max="8455" width="12.42578125" style="274" customWidth="1"/>
    <col min="8456" max="8456" width="10.5703125" style="274" customWidth="1"/>
    <col min="8457" max="8457" width="14.5703125" style="274" customWidth="1"/>
    <col min="8458" max="8458" width="13.28515625" style="274" customWidth="1"/>
    <col min="8459" max="8459" width="12.7109375" style="274" customWidth="1"/>
    <col min="8460" max="8460" width="12.5703125" style="274" bestFit="1" customWidth="1"/>
    <col min="8461" max="8461" width="17.140625" style="274" bestFit="1" customWidth="1"/>
    <col min="8462" max="8462" width="15.140625" style="274" bestFit="1" customWidth="1"/>
    <col min="8463" max="8704" width="9.140625" style="274"/>
    <col min="8705" max="8705" width="19.140625" style="274" customWidth="1"/>
    <col min="8706" max="8706" width="21.140625" style="274" bestFit="1" customWidth="1"/>
    <col min="8707" max="8707" width="8" style="274" bestFit="1" customWidth="1"/>
    <col min="8708" max="8708" width="22.7109375" style="274" customWidth="1"/>
    <col min="8709" max="8709" width="30.28515625" style="274" customWidth="1"/>
    <col min="8710" max="8710" width="59.7109375" style="274" customWidth="1"/>
    <col min="8711" max="8711" width="12.42578125" style="274" customWidth="1"/>
    <col min="8712" max="8712" width="10.5703125" style="274" customWidth="1"/>
    <col min="8713" max="8713" width="14.5703125" style="274" customWidth="1"/>
    <col min="8714" max="8714" width="13.28515625" style="274" customWidth="1"/>
    <col min="8715" max="8715" width="12.7109375" style="274" customWidth="1"/>
    <col min="8716" max="8716" width="12.5703125" style="274" bestFit="1" customWidth="1"/>
    <col min="8717" max="8717" width="17.140625" style="274" bestFit="1" customWidth="1"/>
    <col min="8718" max="8718" width="15.140625" style="274" bestFit="1" customWidth="1"/>
    <col min="8719" max="8960" width="9.140625" style="274"/>
    <col min="8961" max="8961" width="19.140625" style="274" customWidth="1"/>
    <col min="8962" max="8962" width="21.140625" style="274" bestFit="1" customWidth="1"/>
    <col min="8963" max="8963" width="8" style="274" bestFit="1" customWidth="1"/>
    <col min="8964" max="8964" width="22.7109375" style="274" customWidth="1"/>
    <col min="8965" max="8965" width="30.28515625" style="274" customWidth="1"/>
    <col min="8966" max="8966" width="59.7109375" style="274" customWidth="1"/>
    <col min="8967" max="8967" width="12.42578125" style="274" customWidth="1"/>
    <col min="8968" max="8968" width="10.5703125" style="274" customWidth="1"/>
    <col min="8969" max="8969" width="14.5703125" style="274" customWidth="1"/>
    <col min="8970" max="8970" width="13.28515625" style="274" customWidth="1"/>
    <col min="8971" max="8971" width="12.7109375" style="274" customWidth="1"/>
    <col min="8972" max="8972" width="12.5703125" style="274" bestFit="1" customWidth="1"/>
    <col min="8973" max="8973" width="17.140625" style="274" bestFit="1" customWidth="1"/>
    <col min="8974" max="8974" width="15.140625" style="274" bestFit="1" customWidth="1"/>
    <col min="8975" max="9216" width="9.140625" style="274"/>
    <col min="9217" max="9217" width="19.140625" style="274" customWidth="1"/>
    <col min="9218" max="9218" width="21.140625" style="274" bestFit="1" customWidth="1"/>
    <col min="9219" max="9219" width="8" style="274" bestFit="1" customWidth="1"/>
    <col min="9220" max="9220" width="22.7109375" style="274" customWidth="1"/>
    <col min="9221" max="9221" width="30.28515625" style="274" customWidth="1"/>
    <col min="9222" max="9222" width="59.7109375" style="274" customWidth="1"/>
    <col min="9223" max="9223" width="12.42578125" style="274" customWidth="1"/>
    <col min="9224" max="9224" width="10.5703125" style="274" customWidth="1"/>
    <col min="9225" max="9225" width="14.5703125" style="274" customWidth="1"/>
    <col min="9226" max="9226" width="13.28515625" style="274" customWidth="1"/>
    <col min="9227" max="9227" width="12.7109375" style="274" customWidth="1"/>
    <col min="9228" max="9228" width="12.5703125" style="274" bestFit="1" customWidth="1"/>
    <col min="9229" max="9229" width="17.140625" style="274" bestFit="1" customWidth="1"/>
    <col min="9230" max="9230" width="15.140625" style="274" bestFit="1" customWidth="1"/>
    <col min="9231" max="9472" width="9.140625" style="274"/>
    <col min="9473" max="9473" width="19.140625" style="274" customWidth="1"/>
    <col min="9474" max="9474" width="21.140625" style="274" bestFit="1" customWidth="1"/>
    <col min="9475" max="9475" width="8" style="274" bestFit="1" customWidth="1"/>
    <col min="9476" max="9476" width="22.7109375" style="274" customWidth="1"/>
    <col min="9477" max="9477" width="30.28515625" style="274" customWidth="1"/>
    <col min="9478" max="9478" width="59.7109375" style="274" customWidth="1"/>
    <col min="9479" max="9479" width="12.42578125" style="274" customWidth="1"/>
    <col min="9480" max="9480" width="10.5703125" style="274" customWidth="1"/>
    <col min="9481" max="9481" width="14.5703125" style="274" customWidth="1"/>
    <col min="9482" max="9482" width="13.28515625" style="274" customWidth="1"/>
    <col min="9483" max="9483" width="12.7109375" style="274" customWidth="1"/>
    <col min="9484" max="9484" width="12.5703125" style="274" bestFit="1" customWidth="1"/>
    <col min="9485" max="9485" width="17.140625" style="274" bestFit="1" customWidth="1"/>
    <col min="9486" max="9486" width="15.140625" style="274" bestFit="1" customWidth="1"/>
    <col min="9487" max="9728" width="9.140625" style="274"/>
    <col min="9729" max="9729" width="19.140625" style="274" customWidth="1"/>
    <col min="9730" max="9730" width="21.140625" style="274" bestFit="1" customWidth="1"/>
    <col min="9731" max="9731" width="8" style="274" bestFit="1" customWidth="1"/>
    <col min="9732" max="9732" width="22.7109375" style="274" customWidth="1"/>
    <col min="9733" max="9733" width="30.28515625" style="274" customWidth="1"/>
    <col min="9734" max="9734" width="59.7109375" style="274" customWidth="1"/>
    <col min="9735" max="9735" width="12.42578125" style="274" customWidth="1"/>
    <col min="9736" max="9736" width="10.5703125" style="274" customWidth="1"/>
    <col min="9737" max="9737" width="14.5703125" style="274" customWidth="1"/>
    <col min="9738" max="9738" width="13.28515625" style="274" customWidth="1"/>
    <col min="9739" max="9739" width="12.7109375" style="274" customWidth="1"/>
    <col min="9740" max="9740" width="12.5703125" style="274" bestFit="1" customWidth="1"/>
    <col min="9741" max="9741" width="17.140625" style="274" bestFit="1" customWidth="1"/>
    <col min="9742" max="9742" width="15.140625" style="274" bestFit="1" customWidth="1"/>
    <col min="9743" max="9984" width="9.140625" style="274"/>
    <col min="9985" max="9985" width="19.140625" style="274" customWidth="1"/>
    <col min="9986" max="9986" width="21.140625" style="274" bestFit="1" customWidth="1"/>
    <col min="9987" max="9987" width="8" style="274" bestFit="1" customWidth="1"/>
    <col min="9988" max="9988" width="22.7109375" style="274" customWidth="1"/>
    <col min="9989" max="9989" width="30.28515625" style="274" customWidth="1"/>
    <col min="9990" max="9990" width="59.7109375" style="274" customWidth="1"/>
    <col min="9991" max="9991" width="12.42578125" style="274" customWidth="1"/>
    <col min="9992" max="9992" width="10.5703125" style="274" customWidth="1"/>
    <col min="9993" max="9993" width="14.5703125" style="274" customWidth="1"/>
    <col min="9994" max="9994" width="13.28515625" style="274" customWidth="1"/>
    <col min="9995" max="9995" width="12.7109375" style="274" customWidth="1"/>
    <col min="9996" max="9996" width="12.5703125" style="274" bestFit="1" customWidth="1"/>
    <col min="9997" max="9997" width="17.140625" style="274" bestFit="1" customWidth="1"/>
    <col min="9998" max="9998" width="15.140625" style="274" bestFit="1" customWidth="1"/>
    <col min="9999" max="10240" width="9.140625" style="274"/>
    <col min="10241" max="10241" width="19.140625" style="274" customWidth="1"/>
    <col min="10242" max="10242" width="21.140625" style="274" bestFit="1" customWidth="1"/>
    <col min="10243" max="10243" width="8" style="274" bestFit="1" customWidth="1"/>
    <col min="10244" max="10244" width="22.7109375" style="274" customWidth="1"/>
    <col min="10245" max="10245" width="30.28515625" style="274" customWidth="1"/>
    <col min="10246" max="10246" width="59.7109375" style="274" customWidth="1"/>
    <col min="10247" max="10247" width="12.42578125" style="274" customWidth="1"/>
    <col min="10248" max="10248" width="10.5703125" style="274" customWidth="1"/>
    <col min="10249" max="10249" width="14.5703125" style="274" customWidth="1"/>
    <col min="10250" max="10250" width="13.28515625" style="274" customWidth="1"/>
    <col min="10251" max="10251" width="12.7109375" style="274" customWidth="1"/>
    <col min="10252" max="10252" width="12.5703125" style="274" bestFit="1" customWidth="1"/>
    <col min="10253" max="10253" width="17.140625" style="274" bestFit="1" customWidth="1"/>
    <col min="10254" max="10254" width="15.140625" style="274" bestFit="1" customWidth="1"/>
    <col min="10255" max="10496" width="9.140625" style="274"/>
    <col min="10497" max="10497" width="19.140625" style="274" customWidth="1"/>
    <col min="10498" max="10498" width="21.140625" style="274" bestFit="1" customWidth="1"/>
    <col min="10499" max="10499" width="8" style="274" bestFit="1" customWidth="1"/>
    <col min="10500" max="10500" width="22.7109375" style="274" customWidth="1"/>
    <col min="10501" max="10501" width="30.28515625" style="274" customWidth="1"/>
    <col min="10502" max="10502" width="59.7109375" style="274" customWidth="1"/>
    <col min="10503" max="10503" width="12.42578125" style="274" customWidth="1"/>
    <col min="10504" max="10504" width="10.5703125" style="274" customWidth="1"/>
    <col min="10505" max="10505" width="14.5703125" style="274" customWidth="1"/>
    <col min="10506" max="10506" width="13.28515625" style="274" customWidth="1"/>
    <col min="10507" max="10507" width="12.7109375" style="274" customWidth="1"/>
    <col min="10508" max="10508" width="12.5703125" style="274" bestFit="1" customWidth="1"/>
    <col min="10509" max="10509" width="17.140625" style="274" bestFit="1" customWidth="1"/>
    <col min="10510" max="10510" width="15.140625" style="274" bestFit="1" customWidth="1"/>
    <col min="10511" max="10752" width="9.140625" style="274"/>
    <col min="10753" max="10753" width="19.140625" style="274" customWidth="1"/>
    <col min="10754" max="10754" width="21.140625" style="274" bestFit="1" customWidth="1"/>
    <col min="10755" max="10755" width="8" style="274" bestFit="1" customWidth="1"/>
    <col min="10756" max="10756" width="22.7109375" style="274" customWidth="1"/>
    <col min="10757" max="10757" width="30.28515625" style="274" customWidth="1"/>
    <col min="10758" max="10758" width="59.7109375" style="274" customWidth="1"/>
    <col min="10759" max="10759" width="12.42578125" style="274" customWidth="1"/>
    <col min="10760" max="10760" width="10.5703125" style="274" customWidth="1"/>
    <col min="10761" max="10761" width="14.5703125" style="274" customWidth="1"/>
    <col min="10762" max="10762" width="13.28515625" style="274" customWidth="1"/>
    <col min="10763" max="10763" width="12.7109375" style="274" customWidth="1"/>
    <col min="10764" max="10764" width="12.5703125" style="274" bestFit="1" customWidth="1"/>
    <col min="10765" max="10765" width="17.140625" style="274" bestFit="1" customWidth="1"/>
    <col min="10766" max="10766" width="15.140625" style="274" bestFit="1" customWidth="1"/>
    <col min="10767" max="11008" width="9.140625" style="274"/>
    <col min="11009" max="11009" width="19.140625" style="274" customWidth="1"/>
    <col min="11010" max="11010" width="21.140625" style="274" bestFit="1" customWidth="1"/>
    <col min="11011" max="11011" width="8" style="274" bestFit="1" customWidth="1"/>
    <col min="11012" max="11012" width="22.7109375" style="274" customWidth="1"/>
    <col min="11013" max="11013" width="30.28515625" style="274" customWidth="1"/>
    <col min="11014" max="11014" width="59.7109375" style="274" customWidth="1"/>
    <col min="11015" max="11015" width="12.42578125" style="274" customWidth="1"/>
    <col min="11016" max="11016" width="10.5703125" style="274" customWidth="1"/>
    <col min="11017" max="11017" width="14.5703125" style="274" customWidth="1"/>
    <col min="11018" max="11018" width="13.28515625" style="274" customWidth="1"/>
    <col min="11019" max="11019" width="12.7109375" style="274" customWidth="1"/>
    <col min="11020" max="11020" width="12.5703125" style="274" bestFit="1" customWidth="1"/>
    <col min="11021" max="11021" width="17.140625" style="274" bestFit="1" customWidth="1"/>
    <col min="11022" max="11022" width="15.140625" style="274" bestFit="1" customWidth="1"/>
    <col min="11023" max="11264" width="9.140625" style="274"/>
    <col min="11265" max="11265" width="19.140625" style="274" customWidth="1"/>
    <col min="11266" max="11266" width="21.140625" style="274" bestFit="1" customWidth="1"/>
    <col min="11267" max="11267" width="8" style="274" bestFit="1" customWidth="1"/>
    <col min="11268" max="11268" width="22.7109375" style="274" customWidth="1"/>
    <col min="11269" max="11269" width="30.28515625" style="274" customWidth="1"/>
    <col min="11270" max="11270" width="59.7109375" style="274" customWidth="1"/>
    <col min="11271" max="11271" width="12.42578125" style="274" customWidth="1"/>
    <col min="11272" max="11272" width="10.5703125" style="274" customWidth="1"/>
    <col min="11273" max="11273" width="14.5703125" style="274" customWidth="1"/>
    <col min="11274" max="11274" width="13.28515625" style="274" customWidth="1"/>
    <col min="11275" max="11275" width="12.7109375" style="274" customWidth="1"/>
    <col min="11276" max="11276" width="12.5703125" style="274" bestFit="1" customWidth="1"/>
    <col min="11277" max="11277" width="17.140625" style="274" bestFit="1" customWidth="1"/>
    <col min="11278" max="11278" width="15.140625" style="274" bestFit="1" customWidth="1"/>
    <col min="11279" max="11520" width="9.140625" style="274"/>
    <col min="11521" max="11521" width="19.140625" style="274" customWidth="1"/>
    <col min="11522" max="11522" width="21.140625" style="274" bestFit="1" customWidth="1"/>
    <col min="11523" max="11523" width="8" style="274" bestFit="1" customWidth="1"/>
    <col min="11524" max="11524" width="22.7109375" style="274" customWidth="1"/>
    <col min="11525" max="11525" width="30.28515625" style="274" customWidth="1"/>
    <col min="11526" max="11526" width="59.7109375" style="274" customWidth="1"/>
    <col min="11527" max="11527" width="12.42578125" style="274" customWidth="1"/>
    <col min="11528" max="11528" width="10.5703125" style="274" customWidth="1"/>
    <col min="11529" max="11529" width="14.5703125" style="274" customWidth="1"/>
    <col min="11530" max="11530" width="13.28515625" style="274" customWidth="1"/>
    <col min="11531" max="11531" width="12.7109375" style="274" customWidth="1"/>
    <col min="11532" max="11532" width="12.5703125" style="274" bestFit="1" customWidth="1"/>
    <col min="11533" max="11533" width="17.140625" style="274" bestFit="1" customWidth="1"/>
    <col min="11534" max="11534" width="15.140625" style="274" bestFit="1" customWidth="1"/>
    <col min="11535" max="11776" width="9.140625" style="274"/>
    <col min="11777" max="11777" width="19.140625" style="274" customWidth="1"/>
    <col min="11778" max="11778" width="21.140625" style="274" bestFit="1" customWidth="1"/>
    <col min="11779" max="11779" width="8" style="274" bestFit="1" customWidth="1"/>
    <col min="11780" max="11780" width="22.7109375" style="274" customWidth="1"/>
    <col min="11781" max="11781" width="30.28515625" style="274" customWidth="1"/>
    <col min="11782" max="11782" width="59.7109375" style="274" customWidth="1"/>
    <col min="11783" max="11783" width="12.42578125" style="274" customWidth="1"/>
    <col min="11784" max="11784" width="10.5703125" style="274" customWidth="1"/>
    <col min="11785" max="11785" width="14.5703125" style="274" customWidth="1"/>
    <col min="11786" max="11786" width="13.28515625" style="274" customWidth="1"/>
    <col min="11787" max="11787" width="12.7109375" style="274" customWidth="1"/>
    <col min="11788" max="11788" width="12.5703125" style="274" bestFit="1" customWidth="1"/>
    <col min="11789" max="11789" width="17.140625" style="274" bestFit="1" customWidth="1"/>
    <col min="11790" max="11790" width="15.140625" style="274" bestFit="1" customWidth="1"/>
    <col min="11791" max="12032" width="9.140625" style="274"/>
    <col min="12033" max="12033" width="19.140625" style="274" customWidth="1"/>
    <col min="12034" max="12034" width="21.140625" style="274" bestFit="1" customWidth="1"/>
    <col min="12035" max="12035" width="8" style="274" bestFit="1" customWidth="1"/>
    <col min="12036" max="12036" width="22.7109375" style="274" customWidth="1"/>
    <col min="12037" max="12037" width="30.28515625" style="274" customWidth="1"/>
    <col min="12038" max="12038" width="59.7109375" style="274" customWidth="1"/>
    <col min="12039" max="12039" width="12.42578125" style="274" customWidth="1"/>
    <col min="12040" max="12040" width="10.5703125" style="274" customWidth="1"/>
    <col min="12041" max="12041" width="14.5703125" style="274" customWidth="1"/>
    <col min="12042" max="12042" width="13.28515625" style="274" customWidth="1"/>
    <col min="12043" max="12043" width="12.7109375" style="274" customWidth="1"/>
    <col min="12044" max="12044" width="12.5703125" style="274" bestFit="1" customWidth="1"/>
    <col min="12045" max="12045" width="17.140625" style="274" bestFit="1" customWidth="1"/>
    <col min="12046" max="12046" width="15.140625" style="274" bestFit="1" customWidth="1"/>
    <col min="12047" max="12288" width="9.140625" style="274"/>
    <col min="12289" max="12289" width="19.140625" style="274" customWidth="1"/>
    <col min="12290" max="12290" width="21.140625" style="274" bestFit="1" customWidth="1"/>
    <col min="12291" max="12291" width="8" style="274" bestFit="1" customWidth="1"/>
    <col min="12292" max="12292" width="22.7109375" style="274" customWidth="1"/>
    <col min="12293" max="12293" width="30.28515625" style="274" customWidth="1"/>
    <col min="12294" max="12294" width="59.7109375" style="274" customWidth="1"/>
    <col min="12295" max="12295" width="12.42578125" style="274" customWidth="1"/>
    <col min="12296" max="12296" width="10.5703125" style="274" customWidth="1"/>
    <col min="12297" max="12297" width="14.5703125" style="274" customWidth="1"/>
    <col min="12298" max="12298" width="13.28515625" style="274" customWidth="1"/>
    <col min="12299" max="12299" width="12.7109375" style="274" customWidth="1"/>
    <col min="12300" max="12300" width="12.5703125" style="274" bestFit="1" customWidth="1"/>
    <col min="12301" max="12301" width="17.140625" style="274" bestFit="1" customWidth="1"/>
    <col min="12302" max="12302" width="15.140625" style="274" bestFit="1" customWidth="1"/>
    <col min="12303" max="12544" width="9.140625" style="274"/>
    <col min="12545" max="12545" width="19.140625" style="274" customWidth="1"/>
    <col min="12546" max="12546" width="21.140625" style="274" bestFit="1" customWidth="1"/>
    <col min="12547" max="12547" width="8" style="274" bestFit="1" customWidth="1"/>
    <col min="12548" max="12548" width="22.7109375" style="274" customWidth="1"/>
    <col min="12549" max="12549" width="30.28515625" style="274" customWidth="1"/>
    <col min="12550" max="12550" width="59.7109375" style="274" customWidth="1"/>
    <col min="12551" max="12551" width="12.42578125" style="274" customWidth="1"/>
    <col min="12552" max="12552" width="10.5703125" style="274" customWidth="1"/>
    <col min="12553" max="12553" width="14.5703125" style="274" customWidth="1"/>
    <col min="12554" max="12554" width="13.28515625" style="274" customWidth="1"/>
    <col min="12555" max="12555" width="12.7109375" style="274" customWidth="1"/>
    <col min="12556" max="12556" width="12.5703125" style="274" bestFit="1" customWidth="1"/>
    <col min="12557" max="12557" width="17.140625" style="274" bestFit="1" customWidth="1"/>
    <col min="12558" max="12558" width="15.140625" style="274" bestFit="1" customWidth="1"/>
    <col min="12559" max="12800" width="9.140625" style="274"/>
    <col min="12801" max="12801" width="19.140625" style="274" customWidth="1"/>
    <col min="12802" max="12802" width="21.140625" style="274" bestFit="1" customWidth="1"/>
    <col min="12803" max="12803" width="8" style="274" bestFit="1" customWidth="1"/>
    <col min="12804" max="12804" width="22.7109375" style="274" customWidth="1"/>
    <col min="12805" max="12805" width="30.28515625" style="274" customWidth="1"/>
    <col min="12806" max="12806" width="59.7109375" style="274" customWidth="1"/>
    <col min="12807" max="12807" width="12.42578125" style="274" customWidth="1"/>
    <col min="12808" max="12808" width="10.5703125" style="274" customWidth="1"/>
    <col min="12809" max="12809" width="14.5703125" style="274" customWidth="1"/>
    <col min="12810" max="12810" width="13.28515625" style="274" customWidth="1"/>
    <col min="12811" max="12811" width="12.7109375" style="274" customWidth="1"/>
    <col min="12812" max="12812" width="12.5703125" style="274" bestFit="1" customWidth="1"/>
    <col min="12813" max="12813" width="17.140625" style="274" bestFit="1" customWidth="1"/>
    <col min="12814" max="12814" width="15.140625" style="274" bestFit="1" customWidth="1"/>
    <col min="12815" max="13056" width="9.140625" style="274"/>
    <col min="13057" max="13057" width="19.140625" style="274" customWidth="1"/>
    <col min="13058" max="13058" width="21.140625" style="274" bestFit="1" customWidth="1"/>
    <col min="13059" max="13059" width="8" style="274" bestFit="1" customWidth="1"/>
    <col min="13060" max="13060" width="22.7109375" style="274" customWidth="1"/>
    <col min="13061" max="13061" width="30.28515625" style="274" customWidth="1"/>
    <col min="13062" max="13062" width="59.7109375" style="274" customWidth="1"/>
    <col min="13063" max="13063" width="12.42578125" style="274" customWidth="1"/>
    <col min="13064" max="13064" width="10.5703125" style="274" customWidth="1"/>
    <col min="13065" max="13065" width="14.5703125" style="274" customWidth="1"/>
    <col min="13066" max="13066" width="13.28515625" style="274" customWidth="1"/>
    <col min="13067" max="13067" width="12.7109375" style="274" customWidth="1"/>
    <col min="13068" max="13068" width="12.5703125" style="274" bestFit="1" customWidth="1"/>
    <col min="13069" max="13069" width="17.140625" style="274" bestFit="1" customWidth="1"/>
    <col min="13070" max="13070" width="15.140625" style="274" bestFit="1" customWidth="1"/>
    <col min="13071" max="13312" width="9.140625" style="274"/>
    <col min="13313" max="13313" width="19.140625" style="274" customWidth="1"/>
    <col min="13314" max="13314" width="21.140625" style="274" bestFit="1" customWidth="1"/>
    <col min="13315" max="13315" width="8" style="274" bestFit="1" customWidth="1"/>
    <col min="13316" max="13316" width="22.7109375" style="274" customWidth="1"/>
    <col min="13317" max="13317" width="30.28515625" style="274" customWidth="1"/>
    <col min="13318" max="13318" width="59.7109375" style="274" customWidth="1"/>
    <col min="13319" max="13319" width="12.42578125" style="274" customWidth="1"/>
    <col min="13320" max="13320" width="10.5703125" style="274" customWidth="1"/>
    <col min="13321" max="13321" width="14.5703125" style="274" customWidth="1"/>
    <col min="13322" max="13322" width="13.28515625" style="274" customWidth="1"/>
    <col min="13323" max="13323" width="12.7109375" style="274" customWidth="1"/>
    <col min="13324" max="13324" width="12.5703125" style="274" bestFit="1" customWidth="1"/>
    <col min="13325" max="13325" width="17.140625" style="274" bestFit="1" customWidth="1"/>
    <col min="13326" max="13326" width="15.140625" style="274" bestFit="1" customWidth="1"/>
    <col min="13327" max="13568" width="9.140625" style="274"/>
    <col min="13569" max="13569" width="19.140625" style="274" customWidth="1"/>
    <col min="13570" max="13570" width="21.140625" style="274" bestFit="1" customWidth="1"/>
    <col min="13571" max="13571" width="8" style="274" bestFit="1" customWidth="1"/>
    <col min="13572" max="13572" width="22.7109375" style="274" customWidth="1"/>
    <col min="13573" max="13573" width="30.28515625" style="274" customWidth="1"/>
    <col min="13574" max="13574" width="59.7109375" style="274" customWidth="1"/>
    <col min="13575" max="13575" width="12.42578125" style="274" customWidth="1"/>
    <col min="13576" max="13576" width="10.5703125" style="274" customWidth="1"/>
    <col min="13577" max="13577" width="14.5703125" style="274" customWidth="1"/>
    <col min="13578" max="13578" width="13.28515625" style="274" customWidth="1"/>
    <col min="13579" max="13579" width="12.7109375" style="274" customWidth="1"/>
    <col min="13580" max="13580" width="12.5703125" style="274" bestFit="1" customWidth="1"/>
    <col min="13581" max="13581" width="17.140625" style="274" bestFit="1" customWidth="1"/>
    <col min="13582" max="13582" width="15.140625" style="274" bestFit="1" customWidth="1"/>
    <col min="13583" max="13824" width="9.140625" style="274"/>
    <col min="13825" max="13825" width="19.140625" style="274" customWidth="1"/>
    <col min="13826" max="13826" width="21.140625" style="274" bestFit="1" customWidth="1"/>
    <col min="13827" max="13827" width="8" style="274" bestFit="1" customWidth="1"/>
    <col min="13828" max="13828" width="22.7109375" style="274" customWidth="1"/>
    <col min="13829" max="13829" width="30.28515625" style="274" customWidth="1"/>
    <col min="13830" max="13830" width="59.7109375" style="274" customWidth="1"/>
    <col min="13831" max="13831" width="12.42578125" style="274" customWidth="1"/>
    <col min="13832" max="13832" width="10.5703125" style="274" customWidth="1"/>
    <col min="13833" max="13833" width="14.5703125" style="274" customWidth="1"/>
    <col min="13834" max="13834" width="13.28515625" style="274" customWidth="1"/>
    <col min="13835" max="13835" width="12.7109375" style="274" customWidth="1"/>
    <col min="13836" max="13836" width="12.5703125" style="274" bestFit="1" customWidth="1"/>
    <col min="13837" max="13837" width="17.140625" style="274" bestFit="1" customWidth="1"/>
    <col min="13838" max="13838" width="15.140625" style="274" bestFit="1" customWidth="1"/>
    <col min="13839" max="14080" width="9.140625" style="274"/>
    <col min="14081" max="14081" width="19.140625" style="274" customWidth="1"/>
    <col min="14082" max="14082" width="21.140625" style="274" bestFit="1" customWidth="1"/>
    <col min="14083" max="14083" width="8" style="274" bestFit="1" customWidth="1"/>
    <col min="14084" max="14084" width="22.7109375" style="274" customWidth="1"/>
    <col min="14085" max="14085" width="30.28515625" style="274" customWidth="1"/>
    <col min="14086" max="14086" width="59.7109375" style="274" customWidth="1"/>
    <col min="14087" max="14087" width="12.42578125" style="274" customWidth="1"/>
    <col min="14088" max="14088" width="10.5703125" style="274" customWidth="1"/>
    <col min="14089" max="14089" width="14.5703125" style="274" customWidth="1"/>
    <col min="14090" max="14090" width="13.28515625" style="274" customWidth="1"/>
    <col min="14091" max="14091" width="12.7109375" style="274" customWidth="1"/>
    <col min="14092" max="14092" width="12.5703125" style="274" bestFit="1" customWidth="1"/>
    <col min="14093" max="14093" width="17.140625" style="274" bestFit="1" customWidth="1"/>
    <col min="14094" max="14094" width="15.140625" style="274" bestFit="1" customWidth="1"/>
    <col min="14095" max="14336" width="9.140625" style="274"/>
    <col min="14337" max="14337" width="19.140625" style="274" customWidth="1"/>
    <col min="14338" max="14338" width="21.140625" style="274" bestFit="1" customWidth="1"/>
    <col min="14339" max="14339" width="8" style="274" bestFit="1" customWidth="1"/>
    <col min="14340" max="14340" width="22.7109375" style="274" customWidth="1"/>
    <col min="14341" max="14341" width="30.28515625" style="274" customWidth="1"/>
    <col min="14342" max="14342" width="59.7109375" style="274" customWidth="1"/>
    <col min="14343" max="14343" width="12.42578125" style="274" customWidth="1"/>
    <col min="14344" max="14344" width="10.5703125" style="274" customWidth="1"/>
    <col min="14345" max="14345" width="14.5703125" style="274" customWidth="1"/>
    <col min="14346" max="14346" width="13.28515625" style="274" customWidth="1"/>
    <col min="14347" max="14347" width="12.7109375" style="274" customWidth="1"/>
    <col min="14348" max="14348" width="12.5703125" style="274" bestFit="1" customWidth="1"/>
    <col min="14349" max="14349" width="17.140625" style="274" bestFit="1" customWidth="1"/>
    <col min="14350" max="14350" width="15.140625" style="274" bestFit="1" customWidth="1"/>
    <col min="14351" max="14592" width="9.140625" style="274"/>
    <col min="14593" max="14593" width="19.140625" style="274" customWidth="1"/>
    <col min="14594" max="14594" width="21.140625" style="274" bestFit="1" customWidth="1"/>
    <col min="14595" max="14595" width="8" style="274" bestFit="1" customWidth="1"/>
    <col min="14596" max="14596" width="22.7109375" style="274" customWidth="1"/>
    <col min="14597" max="14597" width="30.28515625" style="274" customWidth="1"/>
    <col min="14598" max="14598" width="59.7109375" style="274" customWidth="1"/>
    <col min="14599" max="14599" width="12.42578125" style="274" customWidth="1"/>
    <col min="14600" max="14600" width="10.5703125" style="274" customWidth="1"/>
    <col min="14601" max="14601" width="14.5703125" style="274" customWidth="1"/>
    <col min="14602" max="14602" width="13.28515625" style="274" customWidth="1"/>
    <col min="14603" max="14603" width="12.7109375" style="274" customWidth="1"/>
    <col min="14604" max="14604" width="12.5703125" style="274" bestFit="1" customWidth="1"/>
    <col min="14605" max="14605" width="17.140625" style="274" bestFit="1" customWidth="1"/>
    <col min="14606" max="14606" width="15.140625" style="274" bestFit="1" customWidth="1"/>
    <col min="14607" max="14848" width="9.140625" style="274"/>
    <col min="14849" max="14849" width="19.140625" style="274" customWidth="1"/>
    <col min="14850" max="14850" width="21.140625" style="274" bestFit="1" customWidth="1"/>
    <col min="14851" max="14851" width="8" style="274" bestFit="1" customWidth="1"/>
    <col min="14852" max="14852" width="22.7109375" style="274" customWidth="1"/>
    <col min="14853" max="14853" width="30.28515625" style="274" customWidth="1"/>
    <col min="14854" max="14854" width="59.7109375" style="274" customWidth="1"/>
    <col min="14855" max="14855" width="12.42578125" style="274" customWidth="1"/>
    <col min="14856" max="14856" width="10.5703125" style="274" customWidth="1"/>
    <col min="14857" max="14857" width="14.5703125" style="274" customWidth="1"/>
    <col min="14858" max="14858" width="13.28515625" style="274" customWidth="1"/>
    <col min="14859" max="14859" width="12.7109375" style="274" customWidth="1"/>
    <col min="14860" max="14860" width="12.5703125" style="274" bestFit="1" customWidth="1"/>
    <col min="14861" max="14861" width="17.140625" style="274" bestFit="1" customWidth="1"/>
    <col min="14862" max="14862" width="15.140625" style="274" bestFit="1" customWidth="1"/>
    <col min="14863" max="15104" width="9.140625" style="274"/>
    <col min="15105" max="15105" width="19.140625" style="274" customWidth="1"/>
    <col min="15106" max="15106" width="21.140625" style="274" bestFit="1" customWidth="1"/>
    <col min="15107" max="15107" width="8" style="274" bestFit="1" customWidth="1"/>
    <col min="15108" max="15108" width="22.7109375" style="274" customWidth="1"/>
    <col min="15109" max="15109" width="30.28515625" style="274" customWidth="1"/>
    <col min="15110" max="15110" width="59.7109375" style="274" customWidth="1"/>
    <col min="15111" max="15111" width="12.42578125" style="274" customWidth="1"/>
    <col min="15112" max="15112" width="10.5703125" style="274" customWidth="1"/>
    <col min="15113" max="15113" width="14.5703125" style="274" customWidth="1"/>
    <col min="15114" max="15114" width="13.28515625" style="274" customWidth="1"/>
    <col min="15115" max="15115" width="12.7109375" style="274" customWidth="1"/>
    <col min="15116" max="15116" width="12.5703125" style="274" bestFit="1" customWidth="1"/>
    <col min="15117" max="15117" width="17.140625" style="274" bestFit="1" customWidth="1"/>
    <col min="15118" max="15118" width="15.140625" style="274" bestFit="1" customWidth="1"/>
    <col min="15119" max="15360" width="9.140625" style="274"/>
    <col min="15361" max="15361" width="19.140625" style="274" customWidth="1"/>
    <col min="15362" max="15362" width="21.140625" style="274" bestFit="1" customWidth="1"/>
    <col min="15363" max="15363" width="8" style="274" bestFit="1" customWidth="1"/>
    <col min="15364" max="15364" width="22.7109375" style="274" customWidth="1"/>
    <col min="15365" max="15365" width="30.28515625" style="274" customWidth="1"/>
    <col min="15366" max="15366" width="59.7109375" style="274" customWidth="1"/>
    <col min="15367" max="15367" width="12.42578125" style="274" customWidth="1"/>
    <col min="15368" max="15368" width="10.5703125" style="274" customWidth="1"/>
    <col min="15369" max="15369" width="14.5703125" style="274" customWidth="1"/>
    <col min="15370" max="15370" width="13.28515625" style="274" customWidth="1"/>
    <col min="15371" max="15371" width="12.7109375" style="274" customWidth="1"/>
    <col min="15372" max="15372" width="12.5703125" style="274" bestFit="1" customWidth="1"/>
    <col min="15373" max="15373" width="17.140625" style="274" bestFit="1" customWidth="1"/>
    <col min="15374" max="15374" width="15.140625" style="274" bestFit="1" customWidth="1"/>
    <col min="15375" max="15616" width="9.140625" style="274"/>
    <col min="15617" max="15617" width="19.140625" style="274" customWidth="1"/>
    <col min="15618" max="15618" width="21.140625" style="274" bestFit="1" customWidth="1"/>
    <col min="15619" max="15619" width="8" style="274" bestFit="1" customWidth="1"/>
    <col min="15620" max="15620" width="22.7109375" style="274" customWidth="1"/>
    <col min="15621" max="15621" width="30.28515625" style="274" customWidth="1"/>
    <col min="15622" max="15622" width="59.7109375" style="274" customWidth="1"/>
    <col min="15623" max="15623" width="12.42578125" style="274" customWidth="1"/>
    <col min="15624" max="15624" width="10.5703125" style="274" customWidth="1"/>
    <col min="15625" max="15625" width="14.5703125" style="274" customWidth="1"/>
    <col min="15626" max="15626" width="13.28515625" style="274" customWidth="1"/>
    <col min="15627" max="15627" width="12.7109375" style="274" customWidth="1"/>
    <col min="15628" max="15628" width="12.5703125" style="274" bestFit="1" customWidth="1"/>
    <col min="15629" max="15629" width="17.140625" style="274" bestFit="1" customWidth="1"/>
    <col min="15630" max="15630" width="15.140625" style="274" bestFit="1" customWidth="1"/>
    <col min="15631" max="15872" width="9.140625" style="274"/>
    <col min="15873" max="15873" width="19.140625" style="274" customWidth="1"/>
    <col min="15874" max="15874" width="21.140625" style="274" bestFit="1" customWidth="1"/>
    <col min="15875" max="15875" width="8" style="274" bestFit="1" customWidth="1"/>
    <col min="15876" max="15876" width="22.7109375" style="274" customWidth="1"/>
    <col min="15877" max="15877" width="30.28515625" style="274" customWidth="1"/>
    <col min="15878" max="15878" width="59.7109375" style="274" customWidth="1"/>
    <col min="15879" max="15879" width="12.42578125" style="274" customWidth="1"/>
    <col min="15880" max="15880" width="10.5703125" style="274" customWidth="1"/>
    <col min="15881" max="15881" width="14.5703125" style="274" customWidth="1"/>
    <col min="15882" max="15882" width="13.28515625" style="274" customWidth="1"/>
    <col min="15883" max="15883" width="12.7109375" style="274" customWidth="1"/>
    <col min="15884" max="15884" width="12.5703125" style="274" bestFit="1" customWidth="1"/>
    <col min="15885" max="15885" width="17.140625" style="274" bestFit="1" customWidth="1"/>
    <col min="15886" max="15886" width="15.140625" style="274" bestFit="1" customWidth="1"/>
    <col min="15887" max="16128" width="9.140625" style="274"/>
    <col min="16129" max="16129" width="19.140625" style="274" customWidth="1"/>
    <col min="16130" max="16130" width="21.140625" style="274" bestFit="1" customWidth="1"/>
    <col min="16131" max="16131" width="8" style="274" bestFit="1" customWidth="1"/>
    <col min="16132" max="16132" width="22.7109375" style="274" customWidth="1"/>
    <col min="16133" max="16133" width="30.28515625" style="274" customWidth="1"/>
    <col min="16134" max="16134" width="59.7109375" style="274" customWidth="1"/>
    <col min="16135" max="16135" width="12.42578125" style="274" customWidth="1"/>
    <col min="16136" max="16136" width="10.5703125" style="274" customWidth="1"/>
    <col min="16137" max="16137" width="14.5703125" style="274" customWidth="1"/>
    <col min="16138" max="16138" width="13.28515625" style="274" customWidth="1"/>
    <col min="16139" max="16139" width="12.7109375" style="274" customWidth="1"/>
    <col min="16140" max="16140" width="12.5703125" style="274" bestFit="1" customWidth="1"/>
    <col min="16141" max="16141" width="17.140625" style="274" bestFit="1" customWidth="1"/>
    <col min="16142" max="16142" width="15.140625" style="274" bestFit="1" customWidth="1"/>
    <col min="16143" max="16384" width="9.140625" style="274"/>
  </cols>
  <sheetData>
    <row r="1" spans="1:14" customFormat="1" ht="15" x14ac:dyDescent="0.25"/>
    <row r="2" spans="1:14" customFormat="1" ht="15" x14ac:dyDescent="0.25"/>
    <row r="3" spans="1:14" customFormat="1" ht="23.25" x14ac:dyDescent="0.35">
      <c r="D3" s="272"/>
      <c r="E3" s="14" t="s">
        <v>121</v>
      </c>
    </row>
    <row r="4" spans="1:14" customFormat="1" ht="15" x14ac:dyDescent="0.25"/>
    <row r="5" spans="1:14" customFormat="1" ht="35.25" customHeight="1" x14ac:dyDescent="0.35">
      <c r="D5" s="16"/>
    </row>
    <row r="6" spans="1:14" customFormat="1" ht="18.75" x14ac:dyDescent="0.3">
      <c r="A6" s="25" t="s">
        <v>745</v>
      </c>
      <c r="D6" s="15"/>
    </row>
    <row r="7" spans="1:14" customFormat="1" ht="18.75" x14ac:dyDescent="0.25">
      <c r="B7" s="265" t="s">
        <v>29</v>
      </c>
    </row>
    <row r="8" spans="1:14" customFormat="1" ht="15" x14ac:dyDescent="0.25">
      <c r="D8" s="272"/>
      <c r="J8" t="s">
        <v>119</v>
      </c>
      <c r="K8" s="271"/>
      <c r="L8" s="271"/>
    </row>
    <row r="9" spans="1:14" s="275" customFormat="1" ht="89.25" customHeight="1" x14ac:dyDescent="0.2">
      <c r="A9" s="26" t="s">
        <v>747</v>
      </c>
      <c r="B9" s="26" t="s">
        <v>748</v>
      </c>
      <c r="C9" s="26" t="s">
        <v>749</v>
      </c>
      <c r="D9" s="26" t="s">
        <v>750</v>
      </c>
      <c r="E9" s="26" t="s">
        <v>751</v>
      </c>
      <c r="F9" s="26" t="s">
        <v>752</v>
      </c>
      <c r="G9" s="26" t="s">
        <v>753</v>
      </c>
      <c r="H9" s="26" t="s">
        <v>754</v>
      </c>
      <c r="I9" s="26" t="s">
        <v>755</v>
      </c>
      <c r="J9" s="26" t="s">
        <v>756</v>
      </c>
      <c r="K9" s="26" t="s">
        <v>757</v>
      </c>
      <c r="L9" s="26" t="s">
        <v>954</v>
      </c>
      <c r="M9" s="26" t="s">
        <v>758</v>
      </c>
      <c r="N9" s="26" t="s">
        <v>759</v>
      </c>
    </row>
    <row r="10" spans="1:14" ht="15" x14ac:dyDescent="0.25">
      <c r="A10" s="305" t="s">
        <v>760</v>
      </c>
      <c r="B10" s="306"/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7"/>
    </row>
    <row r="11" spans="1:14" ht="38.25" customHeight="1" x14ac:dyDescent="0.2">
      <c r="A11" s="276">
        <v>1000029</v>
      </c>
      <c r="B11" s="277">
        <v>4607141433016</v>
      </c>
      <c r="C11" s="278" t="s">
        <v>761</v>
      </c>
      <c r="D11" s="279" t="s">
        <v>762</v>
      </c>
      <c r="E11" s="279" t="s">
        <v>763</v>
      </c>
      <c r="F11" s="280" t="s">
        <v>764</v>
      </c>
      <c r="G11" s="281" t="s">
        <v>765</v>
      </c>
      <c r="H11" s="277">
        <v>12</v>
      </c>
      <c r="I11" s="277">
        <v>25</v>
      </c>
      <c r="J11" s="277">
        <v>48</v>
      </c>
      <c r="K11" s="278" t="s">
        <v>766</v>
      </c>
      <c r="L11" s="278" t="s">
        <v>767</v>
      </c>
      <c r="M11" s="282" t="s">
        <v>768</v>
      </c>
      <c r="N11" s="283">
        <v>561</v>
      </c>
    </row>
    <row r="12" spans="1:14" ht="38.25" customHeight="1" x14ac:dyDescent="0.2">
      <c r="A12" s="276">
        <v>1000030</v>
      </c>
      <c r="B12" s="277">
        <v>4607141433078</v>
      </c>
      <c r="C12" s="278" t="s">
        <v>761</v>
      </c>
      <c r="D12" s="279" t="s">
        <v>769</v>
      </c>
      <c r="E12" s="279" t="s">
        <v>770</v>
      </c>
      <c r="F12" s="280" t="s">
        <v>771</v>
      </c>
      <c r="G12" s="281" t="s">
        <v>765</v>
      </c>
      <c r="H12" s="277">
        <v>12</v>
      </c>
      <c r="I12" s="277">
        <v>25</v>
      </c>
      <c r="J12" s="277">
        <v>48</v>
      </c>
      <c r="K12" s="278" t="s">
        <v>766</v>
      </c>
      <c r="L12" s="278" t="s">
        <v>767</v>
      </c>
      <c r="M12" s="282" t="s">
        <v>768</v>
      </c>
      <c r="N12" s="283">
        <v>643</v>
      </c>
    </row>
    <row r="13" spans="1:14" ht="45" x14ac:dyDescent="0.2">
      <c r="A13" s="276">
        <v>1011178</v>
      </c>
      <c r="B13" s="277">
        <v>4607141430602</v>
      </c>
      <c r="C13" s="278" t="s">
        <v>761</v>
      </c>
      <c r="D13" s="279" t="s">
        <v>772</v>
      </c>
      <c r="E13" s="279" t="s">
        <v>773</v>
      </c>
      <c r="F13" s="284" t="s">
        <v>774</v>
      </c>
      <c r="G13" s="281" t="s">
        <v>765</v>
      </c>
      <c r="H13" s="277">
        <v>12</v>
      </c>
      <c r="I13" s="277">
        <v>25</v>
      </c>
      <c r="J13" s="277">
        <v>48</v>
      </c>
      <c r="K13" s="278" t="s">
        <v>766</v>
      </c>
      <c r="L13" s="278" t="s">
        <v>767</v>
      </c>
      <c r="M13" s="282" t="s">
        <v>768</v>
      </c>
      <c r="N13" s="283">
        <v>516</v>
      </c>
    </row>
    <row r="14" spans="1:14" ht="32.25" customHeight="1" x14ac:dyDescent="0.2">
      <c r="A14" s="276">
        <v>1000037</v>
      </c>
      <c r="B14" s="277">
        <v>4607141433108</v>
      </c>
      <c r="C14" s="278" t="s">
        <v>761</v>
      </c>
      <c r="D14" s="279" t="s">
        <v>775</v>
      </c>
      <c r="E14" s="279" t="s">
        <v>776</v>
      </c>
      <c r="F14" s="280" t="s">
        <v>777</v>
      </c>
      <c r="G14" s="281" t="s">
        <v>765</v>
      </c>
      <c r="H14" s="277">
        <v>12</v>
      </c>
      <c r="I14" s="277">
        <v>25</v>
      </c>
      <c r="J14" s="277">
        <v>48</v>
      </c>
      <c r="K14" s="278" t="s">
        <v>766</v>
      </c>
      <c r="L14" s="278" t="s">
        <v>767</v>
      </c>
      <c r="M14" s="282" t="s">
        <v>768</v>
      </c>
      <c r="N14" s="283">
        <v>456</v>
      </c>
    </row>
    <row r="15" spans="1:14" ht="36.75" customHeight="1" x14ac:dyDescent="0.2">
      <c r="A15" s="276">
        <v>1000035</v>
      </c>
      <c r="B15" s="277">
        <v>4607141433115</v>
      </c>
      <c r="C15" s="278" t="s">
        <v>761</v>
      </c>
      <c r="D15" s="279" t="s">
        <v>778</v>
      </c>
      <c r="E15" s="279" t="s">
        <v>779</v>
      </c>
      <c r="F15" s="280" t="s">
        <v>780</v>
      </c>
      <c r="G15" s="281" t="s">
        <v>765</v>
      </c>
      <c r="H15" s="277">
        <v>12</v>
      </c>
      <c r="I15" s="277">
        <v>25</v>
      </c>
      <c r="J15" s="277">
        <v>48</v>
      </c>
      <c r="K15" s="278" t="s">
        <v>766</v>
      </c>
      <c r="L15" s="278" t="s">
        <v>767</v>
      </c>
      <c r="M15" s="282" t="s">
        <v>768</v>
      </c>
      <c r="N15" s="283">
        <v>506</v>
      </c>
    </row>
    <row r="16" spans="1:14" ht="15" x14ac:dyDescent="0.25">
      <c r="A16" s="632" t="s">
        <v>781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633"/>
    </row>
    <row r="17" spans="1:14" ht="38.25" x14ac:dyDescent="0.2">
      <c r="A17" s="276">
        <v>1003846</v>
      </c>
      <c r="B17" s="277">
        <v>6415990147538</v>
      </c>
      <c r="C17" s="278" t="s">
        <v>761</v>
      </c>
      <c r="D17" s="279" t="s">
        <v>782</v>
      </c>
      <c r="E17" s="279" t="s">
        <v>783</v>
      </c>
      <c r="F17" s="280" t="s">
        <v>784</v>
      </c>
      <c r="G17" s="281" t="s">
        <v>765</v>
      </c>
      <c r="H17" s="277">
        <v>12</v>
      </c>
      <c r="I17" s="277">
        <v>25</v>
      </c>
      <c r="J17" s="277">
        <v>48</v>
      </c>
      <c r="K17" s="278" t="s">
        <v>785</v>
      </c>
      <c r="L17" s="278" t="s">
        <v>767</v>
      </c>
      <c r="M17" s="282" t="s">
        <v>768</v>
      </c>
      <c r="N17" s="283">
        <v>843</v>
      </c>
    </row>
    <row r="18" spans="1:14" ht="30" customHeight="1" x14ac:dyDescent="0.2">
      <c r="A18" s="276">
        <v>1000033</v>
      </c>
      <c r="B18" s="277">
        <v>4607141433085</v>
      </c>
      <c r="C18" s="278" t="s">
        <v>761</v>
      </c>
      <c r="D18" s="279" t="s">
        <v>786</v>
      </c>
      <c r="E18" s="279" t="s">
        <v>787</v>
      </c>
      <c r="F18" s="280" t="s">
        <v>788</v>
      </c>
      <c r="G18" s="281" t="s">
        <v>765</v>
      </c>
      <c r="H18" s="277">
        <v>12</v>
      </c>
      <c r="I18" s="277">
        <v>25</v>
      </c>
      <c r="J18" s="277">
        <v>48</v>
      </c>
      <c r="K18" s="278" t="s">
        <v>766</v>
      </c>
      <c r="L18" s="278" t="s">
        <v>767</v>
      </c>
      <c r="M18" s="282" t="s">
        <v>768</v>
      </c>
      <c r="N18" s="283">
        <v>508</v>
      </c>
    </row>
    <row r="19" spans="1:14" ht="30" customHeight="1" x14ac:dyDescent="0.2">
      <c r="A19" s="276">
        <v>1000034</v>
      </c>
      <c r="B19" s="277">
        <v>4607141433092</v>
      </c>
      <c r="C19" s="278" t="s">
        <v>761</v>
      </c>
      <c r="D19" s="279" t="s">
        <v>789</v>
      </c>
      <c r="E19" s="279" t="s">
        <v>790</v>
      </c>
      <c r="F19" s="280" t="s">
        <v>791</v>
      </c>
      <c r="G19" s="281" t="s">
        <v>765</v>
      </c>
      <c r="H19" s="277">
        <v>12</v>
      </c>
      <c r="I19" s="277">
        <v>25</v>
      </c>
      <c r="J19" s="277">
        <v>48</v>
      </c>
      <c r="K19" s="278" t="s">
        <v>766</v>
      </c>
      <c r="L19" s="278" t="s">
        <v>767</v>
      </c>
      <c r="M19" s="282" t="s">
        <v>768</v>
      </c>
      <c r="N19" s="283">
        <v>543</v>
      </c>
    </row>
    <row r="20" spans="1:14" ht="38.25" customHeight="1" x14ac:dyDescent="0.2">
      <c r="A20" s="276">
        <v>1000023</v>
      </c>
      <c r="B20" s="277">
        <v>4607141433054</v>
      </c>
      <c r="C20" s="278" t="s">
        <v>761</v>
      </c>
      <c r="D20" s="279" t="s">
        <v>792</v>
      </c>
      <c r="E20" s="279" t="s">
        <v>793</v>
      </c>
      <c r="F20" s="280" t="s">
        <v>794</v>
      </c>
      <c r="G20" s="281" t="s">
        <v>765</v>
      </c>
      <c r="H20" s="277">
        <v>12</v>
      </c>
      <c r="I20" s="277">
        <v>20</v>
      </c>
      <c r="J20" s="277">
        <v>48</v>
      </c>
      <c r="K20" s="278" t="s">
        <v>766</v>
      </c>
      <c r="L20" s="278" t="s">
        <v>767</v>
      </c>
      <c r="M20" s="282" t="s">
        <v>768</v>
      </c>
      <c r="N20" s="283">
        <v>528</v>
      </c>
    </row>
    <row r="21" spans="1:14" ht="30" customHeight="1" x14ac:dyDescent="0.2">
      <c r="A21" s="276">
        <v>1000024</v>
      </c>
      <c r="B21" s="277">
        <v>4607141433061</v>
      </c>
      <c r="C21" s="278" t="s">
        <v>761</v>
      </c>
      <c r="D21" s="279" t="s">
        <v>795</v>
      </c>
      <c r="E21" s="279" t="s">
        <v>796</v>
      </c>
      <c r="F21" s="280" t="s">
        <v>797</v>
      </c>
      <c r="G21" s="281" t="s">
        <v>765</v>
      </c>
      <c r="H21" s="277">
        <v>12</v>
      </c>
      <c r="I21" s="277">
        <v>20</v>
      </c>
      <c r="J21" s="277">
        <v>48</v>
      </c>
      <c r="K21" s="278" t="s">
        <v>766</v>
      </c>
      <c r="L21" s="278" t="s">
        <v>767</v>
      </c>
      <c r="M21" s="282" t="s">
        <v>768</v>
      </c>
      <c r="N21" s="283">
        <v>563</v>
      </c>
    </row>
    <row r="22" spans="1:14" ht="38.25" customHeight="1" x14ac:dyDescent="0.2">
      <c r="A22" s="276">
        <v>1008911</v>
      </c>
      <c r="B22" s="277">
        <v>4607141439209</v>
      </c>
      <c r="C22" s="278" t="s">
        <v>761</v>
      </c>
      <c r="D22" s="279" t="s">
        <v>798</v>
      </c>
      <c r="E22" s="279" t="s">
        <v>799</v>
      </c>
      <c r="F22" s="280" t="s">
        <v>800</v>
      </c>
      <c r="G22" s="281" t="s">
        <v>256</v>
      </c>
      <c r="H22" s="277">
        <v>12</v>
      </c>
      <c r="I22" s="277">
        <v>20</v>
      </c>
      <c r="J22" s="277">
        <v>48</v>
      </c>
      <c r="K22" s="278" t="s">
        <v>801</v>
      </c>
      <c r="L22" s="278" t="s">
        <v>767</v>
      </c>
      <c r="M22" s="282" t="s">
        <v>768</v>
      </c>
      <c r="N22" s="283">
        <v>719</v>
      </c>
    </row>
    <row r="23" spans="1:14" ht="15" x14ac:dyDescent="0.25">
      <c r="A23" s="632" t="s">
        <v>802</v>
      </c>
      <c r="B23" s="490"/>
      <c r="C23" s="490"/>
      <c r="D23" s="490"/>
      <c r="E23" s="490"/>
      <c r="F23" s="490"/>
      <c r="G23" s="490"/>
      <c r="H23" s="490"/>
      <c r="I23" s="490"/>
      <c r="J23" s="490"/>
      <c r="K23" s="490"/>
      <c r="L23" s="490"/>
      <c r="M23" s="490"/>
      <c r="N23" s="633"/>
    </row>
    <row r="24" spans="1:14" ht="26.25" thickBot="1" x14ac:dyDescent="0.25">
      <c r="A24" s="285">
        <v>1011930</v>
      </c>
      <c r="B24" s="286">
        <v>8600101527233</v>
      </c>
      <c r="C24" s="287" t="s">
        <v>761</v>
      </c>
      <c r="D24" s="288" t="s">
        <v>803</v>
      </c>
      <c r="E24" s="288" t="s">
        <v>804</v>
      </c>
      <c r="F24" s="289" t="s">
        <v>805</v>
      </c>
      <c r="G24" s="290" t="s">
        <v>256</v>
      </c>
      <c r="H24" s="286">
        <v>12</v>
      </c>
      <c r="I24" s="286">
        <v>25</v>
      </c>
      <c r="J24" s="286">
        <v>24</v>
      </c>
      <c r="K24" s="287" t="s">
        <v>806</v>
      </c>
      <c r="L24" s="287" t="s">
        <v>767</v>
      </c>
      <c r="M24" s="291" t="s">
        <v>768</v>
      </c>
      <c r="N24" s="292">
        <v>3112</v>
      </c>
    </row>
    <row r="25" spans="1:14" ht="15" x14ac:dyDescent="0.25">
      <c r="A25" s="632" t="s">
        <v>807</v>
      </c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633"/>
    </row>
    <row r="26" spans="1:14" ht="25.5" x14ac:dyDescent="0.2">
      <c r="A26" s="276">
        <v>1009198</v>
      </c>
      <c r="B26" s="277">
        <v>4607141439230</v>
      </c>
      <c r="C26" s="278" t="s">
        <v>761</v>
      </c>
      <c r="D26" s="279" t="s">
        <v>808</v>
      </c>
      <c r="E26" s="279" t="s">
        <v>809</v>
      </c>
      <c r="F26" s="280" t="s">
        <v>810</v>
      </c>
      <c r="G26" s="281" t="s">
        <v>811</v>
      </c>
      <c r="H26" s="277">
        <v>12</v>
      </c>
      <c r="I26" s="277">
        <v>25</v>
      </c>
      <c r="J26" s="277">
        <v>48</v>
      </c>
      <c r="K26" s="278" t="s">
        <v>812</v>
      </c>
      <c r="L26" s="278" t="s">
        <v>767</v>
      </c>
      <c r="M26" s="282" t="s">
        <v>768</v>
      </c>
      <c r="N26" s="283">
        <v>722</v>
      </c>
    </row>
    <row r="27" spans="1:14" ht="38.25" x14ac:dyDescent="0.2">
      <c r="A27" s="293">
        <v>1010617</v>
      </c>
      <c r="B27" s="294">
        <v>4607141430473</v>
      </c>
      <c r="C27" s="295" t="s">
        <v>761</v>
      </c>
      <c r="D27" s="279" t="s">
        <v>813</v>
      </c>
      <c r="E27" s="279" t="s">
        <v>814</v>
      </c>
      <c r="F27" s="280" t="s">
        <v>815</v>
      </c>
      <c r="G27" s="281" t="s">
        <v>811</v>
      </c>
      <c r="H27" s="294">
        <v>12</v>
      </c>
      <c r="I27" s="294">
        <v>25</v>
      </c>
      <c r="J27" s="294">
        <v>48</v>
      </c>
      <c r="K27" s="295" t="s">
        <v>812</v>
      </c>
      <c r="L27" s="296" t="s">
        <v>767</v>
      </c>
      <c r="M27" s="296" t="s">
        <v>768</v>
      </c>
      <c r="N27" s="283">
        <v>791</v>
      </c>
    </row>
    <row r="28" spans="1:14" ht="25.5" x14ac:dyDescent="0.2">
      <c r="A28" s="293">
        <v>1010283</v>
      </c>
      <c r="B28" s="294">
        <v>4607141430497</v>
      </c>
      <c r="C28" s="295" t="s">
        <v>761</v>
      </c>
      <c r="D28" s="279" t="s">
        <v>816</v>
      </c>
      <c r="E28" s="279" t="s">
        <v>817</v>
      </c>
      <c r="F28" s="284" t="s">
        <v>818</v>
      </c>
      <c r="G28" s="281" t="s">
        <v>811</v>
      </c>
      <c r="H28" s="294">
        <v>12</v>
      </c>
      <c r="I28" s="294">
        <v>25</v>
      </c>
      <c r="J28" s="294">
        <v>48</v>
      </c>
      <c r="K28" s="295" t="s">
        <v>812</v>
      </c>
      <c r="L28" s="296" t="s">
        <v>767</v>
      </c>
      <c r="M28" s="296" t="s">
        <v>768</v>
      </c>
      <c r="N28" s="283">
        <v>652</v>
      </c>
    </row>
    <row r="29" spans="1:14" ht="38.25" x14ac:dyDescent="0.2">
      <c r="A29" s="293">
        <v>1011572</v>
      </c>
      <c r="B29" s="294">
        <v>4607141430497</v>
      </c>
      <c r="C29" s="295" t="s">
        <v>761</v>
      </c>
      <c r="D29" s="279" t="s">
        <v>819</v>
      </c>
      <c r="E29" s="279" t="s">
        <v>820</v>
      </c>
      <c r="F29" s="284" t="s">
        <v>821</v>
      </c>
      <c r="G29" s="281" t="s">
        <v>811</v>
      </c>
      <c r="H29" s="294">
        <v>12</v>
      </c>
      <c r="I29" s="294">
        <v>25</v>
      </c>
      <c r="J29" s="294">
        <v>48</v>
      </c>
      <c r="K29" s="295" t="s">
        <v>812</v>
      </c>
      <c r="L29" s="296" t="s">
        <v>767</v>
      </c>
      <c r="M29" s="296" t="s">
        <v>768</v>
      </c>
      <c r="N29" s="283">
        <v>717</v>
      </c>
    </row>
    <row r="30" spans="1:14" ht="25.5" x14ac:dyDescent="0.2">
      <c r="A30" s="293">
        <v>1010282</v>
      </c>
      <c r="B30" s="294">
        <v>4607141430459</v>
      </c>
      <c r="C30" s="295" t="s">
        <v>822</v>
      </c>
      <c r="D30" s="279" t="s">
        <v>823</v>
      </c>
      <c r="E30" s="279" t="s">
        <v>824</v>
      </c>
      <c r="F30" s="280" t="s">
        <v>825</v>
      </c>
      <c r="G30" s="281" t="s">
        <v>811</v>
      </c>
      <c r="H30" s="294">
        <v>12</v>
      </c>
      <c r="I30" s="294">
        <v>25</v>
      </c>
      <c r="J30" s="294">
        <v>48</v>
      </c>
      <c r="K30" s="295" t="s">
        <v>826</v>
      </c>
      <c r="L30" s="296" t="s">
        <v>767</v>
      </c>
      <c r="M30" s="296" t="s">
        <v>768</v>
      </c>
      <c r="N30" s="283">
        <v>652</v>
      </c>
    </row>
    <row r="31" spans="1:14" ht="38.25" x14ac:dyDescent="0.2">
      <c r="A31" s="293">
        <v>1011573</v>
      </c>
      <c r="B31" s="294">
        <v>4607141430459</v>
      </c>
      <c r="C31" s="295" t="s">
        <v>822</v>
      </c>
      <c r="D31" s="279" t="s">
        <v>827</v>
      </c>
      <c r="E31" s="279" t="s">
        <v>828</v>
      </c>
      <c r="F31" s="280" t="s">
        <v>829</v>
      </c>
      <c r="G31" s="281" t="s">
        <v>811</v>
      </c>
      <c r="H31" s="294">
        <v>12</v>
      </c>
      <c r="I31" s="294">
        <v>25</v>
      </c>
      <c r="J31" s="294">
        <v>48</v>
      </c>
      <c r="K31" s="295" t="s">
        <v>826</v>
      </c>
      <c r="L31" s="296" t="s">
        <v>767</v>
      </c>
      <c r="M31" s="296" t="s">
        <v>768</v>
      </c>
      <c r="N31" s="283">
        <v>717</v>
      </c>
    </row>
    <row r="32" spans="1:14" ht="15" x14ac:dyDescent="0.25">
      <c r="A32" s="632" t="s">
        <v>830</v>
      </c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633"/>
    </row>
    <row r="33" spans="1:14" ht="25.5" x14ac:dyDescent="0.2">
      <c r="A33" s="276">
        <v>1011033</v>
      </c>
      <c r="B33" s="277">
        <v>8606010611575</v>
      </c>
      <c r="C33" s="278" t="s">
        <v>761</v>
      </c>
      <c r="D33" s="279" t="s">
        <v>831</v>
      </c>
      <c r="E33" s="279" t="s">
        <v>832</v>
      </c>
      <c r="F33" s="280" t="s">
        <v>818</v>
      </c>
      <c r="G33" s="281" t="s">
        <v>833</v>
      </c>
      <c r="H33" s="277">
        <v>12</v>
      </c>
      <c r="I33" s="277">
        <v>25</v>
      </c>
      <c r="J33" s="277">
        <v>24</v>
      </c>
      <c r="K33" s="278" t="s">
        <v>834</v>
      </c>
      <c r="L33" s="278" t="s">
        <v>767</v>
      </c>
      <c r="M33" s="282" t="s">
        <v>768</v>
      </c>
      <c r="N33" s="283">
        <v>2301</v>
      </c>
    </row>
    <row r="34" spans="1:14" ht="25.5" x14ac:dyDescent="0.2">
      <c r="A34" s="276">
        <v>1011031</v>
      </c>
      <c r="B34" s="277">
        <v>8606010611551</v>
      </c>
      <c r="C34" s="278" t="s">
        <v>761</v>
      </c>
      <c r="D34" s="279" t="s">
        <v>835</v>
      </c>
      <c r="E34" s="279" t="s">
        <v>836</v>
      </c>
      <c r="F34" s="280" t="s">
        <v>837</v>
      </c>
      <c r="G34" s="281" t="s">
        <v>833</v>
      </c>
      <c r="H34" s="277">
        <v>12</v>
      </c>
      <c r="I34" s="277">
        <v>25</v>
      </c>
      <c r="J34" s="277">
        <v>24</v>
      </c>
      <c r="K34" s="278" t="s">
        <v>834</v>
      </c>
      <c r="L34" s="278" t="s">
        <v>767</v>
      </c>
      <c r="M34" s="282" t="s">
        <v>768</v>
      </c>
      <c r="N34" s="283">
        <v>2301</v>
      </c>
    </row>
    <row r="35" spans="1:14" ht="25.5" x14ac:dyDescent="0.2">
      <c r="A35" s="276">
        <v>1011029</v>
      </c>
      <c r="B35" s="277">
        <v>8606010611537</v>
      </c>
      <c r="C35" s="278" t="s">
        <v>761</v>
      </c>
      <c r="D35" s="279" t="s">
        <v>838</v>
      </c>
      <c r="E35" s="279" t="s">
        <v>839</v>
      </c>
      <c r="F35" s="280" t="s">
        <v>840</v>
      </c>
      <c r="G35" s="281" t="s">
        <v>833</v>
      </c>
      <c r="H35" s="277">
        <v>12</v>
      </c>
      <c r="I35" s="277">
        <v>25</v>
      </c>
      <c r="J35" s="277">
        <v>24</v>
      </c>
      <c r="K35" s="278" t="s">
        <v>834</v>
      </c>
      <c r="L35" s="278" t="s">
        <v>767</v>
      </c>
      <c r="M35" s="282" t="s">
        <v>768</v>
      </c>
      <c r="N35" s="283">
        <v>2301</v>
      </c>
    </row>
    <row r="36" spans="1:14" ht="25.5" x14ac:dyDescent="0.2">
      <c r="A36" s="276">
        <v>1011039</v>
      </c>
      <c r="B36" s="277">
        <v>8606010611636</v>
      </c>
      <c r="C36" s="278" t="s">
        <v>761</v>
      </c>
      <c r="D36" s="279" t="s">
        <v>841</v>
      </c>
      <c r="E36" s="279" t="s">
        <v>842</v>
      </c>
      <c r="F36" s="280" t="s">
        <v>818</v>
      </c>
      <c r="G36" s="281" t="s">
        <v>833</v>
      </c>
      <c r="H36" s="277">
        <v>12</v>
      </c>
      <c r="I36" s="277">
        <v>25</v>
      </c>
      <c r="J36" s="277">
        <v>24</v>
      </c>
      <c r="K36" s="278" t="s">
        <v>834</v>
      </c>
      <c r="L36" s="278" t="s">
        <v>767</v>
      </c>
      <c r="M36" s="282" t="s">
        <v>768</v>
      </c>
      <c r="N36" s="283">
        <v>2301</v>
      </c>
    </row>
    <row r="37" spans="1:14" ht="25.5" x14ac:dyDescent="0.2">
      <c r="A37" s="276">
        <v>1011037</v>
      </c>
      <c r="B37" s="277">
        <v>8606010611612</v>
      </c>
      <c r="C37" s="278" t="s">
        <v>761</v>
      </c>
      <c r="D37" s="279" t="s">
        <v>843</v>
      </c>
      <c r="E37" s="279" t="s">
        <v>844</v>
      </c>
      <c r="F37" s="280" t="s">
        <v>837</v>
      </c>
      <c r="G37" s="281" t="s">
        <v>833</v>
      </c>
      <c r="H37" s="277">
        <v>12</v>
      </c>
      <c r="I37" s="277">
        <v>25</v>
      </c>
      <c r="J37" s="277">
        <v>24</v>
      </c>
      <c r="K37" s="278" t="s">
        <v>834</v>
      </c>
      <c r="L37" s="278" t="s">
        <v>767</v>
      </c>
      <c r="M37" s="282" t="s">
        <v>768</v>
      </c>
      <c r="N37" s="283">
        <v>2301</v>
      </c>
    </row>
    <row r="38" spans="1:14" ht="25.5" x14ac:dyDescent="0.2">
      <c r="A38" s="276">
        <v>1011035</v>
      </c>
      <c r="B38" s="277">
        <v>8606010611599</v>
      </c>
      <c r="C38" s="278" t="s">
        <v>761</v>
      </c>
      <c r="D38" s="279" t="s">
        <v>845</v>
      </c>
      <c r="E38" s="279" t="s">
        <v>846</v>
      </c>
      <c r="F38" s="280" t="s">
        <v>840</v>
      </c>
      <c r="G38" s="281" t="s">
        <v>833</v>
      </c>
      <c r="H38" s="277">
        <v>12</v>
      </c>
      <c r="I38" s="277">
        <v>25</v>
      </c>
      <c r="J38" s="277">
        <v>24</v>
      </c>
      <c r="K38" s="278" t="s">
        <v>834</v>
      </c>
      <c r="L38" s="278" t="s">
        <v>767</v>
      </c>
      <c r="M38" s="282" t="s">
        <v>768</v>
      </c>
      <c r="N38" s="283">
        <v>2301</v>
      </c>
    </row>
    <row r="39" spans="1:14" ht="15" x14ac:dyDescent="0.25">
      <c r="A39" s="632" t="s">
        <v>847</v>
      </c>
      <c r="B39" s="490"/>
      <c r="C39" s="490"/>
      <c r="D39" s="490"/>
      <c r="E39" s="490"/>
      <c r="F39" s="490"/>
      <c r="G39" s="490"/>
      <c r="H39" s="490"/>
      <c r="I39" s="490"/>
      <c r="J39" s="490"/>
      <c r="K39" s="490"/>
      <c r="L39" s="490"/>
      <c r="M39" s="490"/>
      <c r="N39" s="633"/>
    </row>
    <row r="40" spans="1:14" ht="38.25" x14ac:dyDescent="0.2">
      <c r="A40" s="276">
        <v>1002156</v>
      </c>
      <c r="B40" s="277">
        <v>4607141439377</v>
      </c>
      <c r="C40" s="278" t="s">
        <v>761</v>
      </c>
      <c r="D40" s="279" t="s">
        <v>848</v>
      </c>
      <c r="E40" s="279" t="s">
        <v>849</v>
      </c>
      <c r="F40" s="280" t="s">
        <v>850</v>
      </c>
      <c r="G40" s="281" t="s">
        <v>833</v>
      </c>
      <c r="H40" s="277">
        <v>12</v>
      </c>
      <c r="I40" s="277">
        <v>25</v>
      </c>
      <c r="J40" s="277">
        <v>24</v>
      </c>
      <c r="K40" s="278" t="s">
        <v>851</v>
      </c>
      <c r="L40" s="278" t="s">
        <v>767</v>
      </c>
      <c r="M40" s="282" t="s">
        <v>768</v>
      </c>
      <c r="N40" s="283">
        <v>3072</v>
      </c>
    </row>
    <row r="41" spans="1:14" ht="25.5" x14ac:dyDescent="0.2">
      <c r="A41" s="276">
        <v>1002152</v>
      </c>
      <c r="B41" s="277">
        <v>4607141439384</v>
      </c>
      <c r="C41" s="278" t="s">
        <v>761</v>
      </c>
      <c r="D41" s="279" t="s">
        <v>852</v>
      </c>
      <c r="E41" s="279" t="s">
        <v>853</v>
      </c>
      <c r="F41" s="280" t="s">
        <v>854</v>
      </c>
      <c r="G41" s="281" t="s">
        <v>833</v>
      </c>
      <c r="H41" s="277">
        <v>12</v>
      </c>
      <c r="I41" s="277">
        <v>25</v>
      </c>
      <c r="J41" s="277">
        <v>24</v>
      </c>
      <c r="K41" s="278" t="s">
        <v>851</v>
      </c>
      <c r="L41" s="278" t="s">
        <v>767</v>
      </c>
      <c r="M41" s="282" t="s">
        <v>768</v>
      </c>
      <c r="N41" s="283">
        <v>2915</v>
      </c>
    </row>
    <row r="42" spans="1:14" ht="25.5" x14ac:dyDescent="0.2">
      <c r="A42" s="276">
        <v>1011965</v>
      </c>
      <c r="B42" s="277">
        <v>8606010611704</v>
      </c>
      <c r="C42" s="278" t="s">
        <v>761</v>
      </c>
      <c r="D42" s="279" t="s">
        <v>855</v>
      </c>
      <c r="E42" s="279" t="s">
        <v>856</v>
      </c>
      <c r="F42" s="280" t="s">
        <v>818</v>
      </c>
      <c r="G42" s="281" t="s">
        <v>833</v>
      </c>
      <c r="H42" s="277">
        <v>12</v>
      </c>
      <c r="I42" s="277">
        <v>25</v>
      </c>
      <c r="J42" s="277">
        <v>24</v>
      </c>
      <c r="K42" s="278" t="s">
        <v>834</v>
      </c>
      <c r="L42" s="278" t="s">
        <v>767</v>
      </c>
      <c r="M42" s="282" t="s">
        <v>768</v>
      </c>
      <c r="N42" s="283">
        <v>2489</v>
      </c>
    </row>
    <row r="43" spans="1:14" ht="25.5" x14ac:dyDescent="0.2">
      <c r="A43" s="276">
        <v>1011953</v>
      </c>
      <c r="B43" s="277">
        <v>8606010611681</v>
      </c>
      <c r="C43" s="278" t="s">
        <v>761</v>
      </c>
      <c r="D43" s="279" t="s">
        <v>857</v>
      </c>
      <c r="E43" s="279" t="s">
        <v>858</v>
      </c>
      <c r="F43" s="280" t="s">
        <v>837</v>
      </c>
      <c r="G43" s="281" t="s">
        <v>833</v>
      </c>
      <c r="H43" s="277">
        <v>12</v>
      </c>
      <c r="I43" s="277">
        <v>25</v>
      </c>
      <c r="J43" s="277">
        <v>24</v>
      </c>
      <c r="K43" s="278" t="s">
        <v>834</v>
      </c>
      <c r="L43" s="278" t="s">
        <v>767</v>
      </c>
      <c r="M43" s="282" t="s">
        <v>768</v>
      </c>
      <c r="N43" s="283">
        <v>2489</v>
      </c>
    </row>
    <row r="44" spans="1:14" ht="25.5" x14ac:dyDescent="0.2">
      <c r="A44" s="276">
        <v>1011969</v>
      </c>
      <c r="B44" s="277">
        <v>8606010611742</v>
      </c>
      <c r="C44" s="278" t="s">
        <v>761</v>
      </c>
      <c r="D44" s="279" t="s">
        <v>859</v>
      </c>
      <c r="E44" s="279" t="s">
        <v>860</v>
      </c>
      <c r="F44" s="280" t="s">
        <v>861</v>
      </c>
      <c r="G44" s="281" t="s">
        <v>833</v>
      </c>
      <c r="H44" s="277">
        <v>12</v>
      </c>
      <c r="I44" s="277">
        <v>25</v>
      </c>
      <c r="J44" s="277">
        <v>24</v>
      </c>
      <c r="K44" s="278" t="s">
        <v>834</v>
      </c>
      <c r="L44" s="278" t="s">
        <v>767</v>
      </c>
      <c r="M44" s="282" t="s">
        <v>768</v>
      </c>
      <c r="N44" s="283">
        <v>2489</v>
      </c>
    </row>
    <row r="45" spans="1:14" ht="25.5" x14ac:dyDescent="0.2">
      <c r="A45" s="276">
        <v>1011967</v>
      </c>
      <c r="B45" s="277">
        <v>8606010611728</v>
      </c>
      <c r="C45" s="278" t="s">
        <v>761</v>
      </c>
      <c r="D45" s="279" t="s">
        <v>862</v>
      </c>
      <c r="E45" s="279" t="s">
        <v>863</v>
      </c>
      <c r="F45" s="280" t="s">
        <v>864</v>
      </c>
      <c r="G45" s="281" t="s">
        <v>833</v>
      </c>
      <c r="H45" s="277">
        <v>12</v>
      </c>
      <c r="I45" s="277">
        <v>25</v>
      </c>
      <c r="J45" s="277">
        <v>24</v>
      </c>
      <c r="K45" s="278" t="s">
        <v>834</v>
      </c>
      <c r="L45" s="278" t="s">
        <v>767</v>
      </c>
      <c r="M45" s="282" t="s">
        <v>768</v>
      </c>
      <c r="N45" s="283">
        <v>2489</v>
      </c>
    </row>
    <row r="46" spans="1:14" ht="15" x14ac:dyDescent="0.25">
      <c r="A46" s="632" t="s">
        <v>865</v>
      </c>
      <c r="B46" s="490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633"/>
    </row>
    <row r="47" spans="1:14" ht="25.5" x14ac:dyDescent="0.2">
      <c r="A47" s="276">
        <v>1011943</v>
      </c>
      <c r="B47" s="277">
        <v>8606010611810</v>
      </c>
      <c r="C47" s="278" t="s">
        <v>761</v>
      </c>
      <c r="D47" s="279" t="s">
        <v>866</v>
      </c>
      <c r="E47" s="279" t="s">
        <v>867</v>
      </c>
      <c r="F47" s="280" t="s">
        <v>818</v>
      </c>
      <c r="G47" s="281" t="s">
        <v>833</v>
      </c>
      <c r="H47" s="277">
        <v>12</v>
      </c>
      <c r="I47" s="277">
        <v>25</v>
      </c>
      <c r="J47" s="277">
        <v>24</v>
      </c>
      <c r="K47" s="278" t="s">
        <v>834</v>
      </c>
      <c r="L47" s="278" t="s">
        <v>767</v>
      </c>
      <c r="M47" s="282" t="s">
        <v>768</v>
      </c>
      <c r="N47" s="283">
        <v>3821</v>
      </c>
    </row>
    <row r="48" spans="1:14" ht="25.5" x14ac:dyDescent="0.2">
      <c r="A48" s="276">
        <v>1011941</v>
      </c>
      <c r="B48" s="277">
        <v>8606010611797</v>
      </c>
      <c r="C48" s="278" t="s">
        <v>761</v>
      </c>
      <c r="D48" s="279" t="s">
        <v>868</v>
      </c>
      <c r="E48" s="279" t="s">
        <v>869</v>
      </c>
      <c r="F48" s="280" t="s">
        <v>837</v>
      </c>
      <c r="G48" s="281" t="s">
        <v>833</v>
      </c>
      <c r="H48" s="277">
        <v>12</v>
      </c>
      <c r="I48" s="277">
        <v>25</v>
      </c>
      <c r="J48" s="277">
        <v>24</v>
      </c>
      <c r="K48" s="278" t="s">
        <v>834</v>
      </c>
      <c r="L48" s="278" t="s">
        <v>767</v>
      </c>
      <c r="M48" s="282" t="s">
        <v>768</v>
      </c>
      <c r="N48" s="283">
        <v>3821</v>
      </c>
    </row>
    <row r="49" spans="1:14" ht="25.5" x14ac:dyDescent="0.2">
      <c r="A49" s="276">
        <v>1011947</v>
      </c>
      <c r="B49" s="277">
        <v>8606010611858</v>
      </c>
      <c r="C49" s="278" t="s">
        <v>761</v>
      </c>
      <c r="D49" s="279" t="s">
        <v>870</v>
      </c>
      <c r="E49" s="279" t="s">
        <v>871</v>
      </c>
      <c r="F49" s="280" t="s">
        <v>861</v>
      </c>
      <c r="G49" s="281" t="s">
        <v>833</v>
      </c>
      <c r="H49" s="277">
        <v>12</v>
      </c>
      <c r="I49" s="277">
        <v>25</v>
      </c>
      <c r="J49" s="277">
        <v>24</v>
      </c>
      <c r="K49" s="278" t="s">
        <v>834</v>
      </c>
      <c r="L49" s="278" t="s">
        <v>767</v>
      </c>
      <c r="M49" s="282" t="s">
        <v>768</v>
      </c>
      <c r="N49" s="283">
        <v>3821</v>
      </c>
    </row>
    <row r="50" spans="1:14" ht="25.5" x14ac:dyDescent="0.2">
      <c r="A50" s="276">
        <v>1011945</v>
      </c>
      <c r="B50" s="277">
        <v>8606010611834</v>
      </c>
      <c r="C50" s="278" t="s">
        <v>761</v>
      </c>
      <c r="D50" s="279" t="s">
        <v>872</v>
      </c>
      <c r="E50" s="279" t="s">
        <v>873</v>
      </c>
      <c r="F50" s="280" t="s">
        <v>864</v>
      </c>
      <c r="G50" s="281" t="s">
        <v>833</v>
      </c>
      <c r="H50" s="277">
        <v>12</v>
      </c>
      <c r="I50" s="277">
        <v>25</v>
      </c>
      <c r="J50" s="277">
        <v>24</v>
      </c>
      <c r="K50" s="278" t="s">
        <v>834</v>
      </c>
      <c r="L50" s="278" t="s">
        <v>767</v>
      </c>
      <c r="M50" s="282" t="s">
        <v>768</v>
      </c>
      <c r="N50" s="283">
        <v>3821</v>
      </c>
    </row>
    <row r="51" spans="1:14" ht="15" x14ac:dyDescent="0.25">
      <c r="A51" s="632" t="s">
        <v>874</v>
      </c>
      <c r="B51" s="490"/>
      <c r="C51" s="490"/>
      <c r="D51" s="490"/>
      <c r="E51" s="490"/>
      <c r="F51" s="490"/>
      <c r="G51" s="490"/>
      <c r="H51" s="490"/>
      <c r="I51" s="490"/>
      <c r="J51" s="490"/>
      <c r="K51" s="490"/>
      <c r="L51" s="490"/>
      <c r="M51" s="490"/>
      <c r="N51" s="633"/>
    </row>
    <row r="52" spans="1:14" ht="25.5" x14ac:dyDescent="0.2">
      <c r="A52" s="276">
        <v>1008801</v>
      </c>
      <c r="B52" s="277">
        <v>4607141439476</v>
      </c>
      <c r="C52" s="278" t="s">
        <v>761</v>
      </c>
      <c r="D52" s="279" t="s">
        <v>875</v>
      </c>
      <c r="E52" s="279" t="s">
        <v>876</v>
      </c>
      <c r="F52" s="280" t="s">
        <v>818</v>
      </c>
      <c r="G52" s="281" t="s">
        <v>833</v>
      </c>
      <c r="H52" s="277">
        <v>12</v>
      </c>
      <c r="I52" s="277">
        <v>25</v>
      </c>
      <c r="J52" s="277">
        <v>24</v>
      </c>
      <c r="K52" s="278" t="s">
        <v>851</v>
      </c>
      <c r="L52" s="278" t="s">
        <v>767</v>
      </c>
      <c r="M52" s="282" t="s">
        <v>768</v>
      </c>
      <c r="N52" s="283">
        <v>3093</v>
      </c>
    </row>
    <row r="53" spans="1:14" ht="25.5" x14ac:dyDescent="0.2">
      <c r="A53" s="276">
        <v>1008802</v>
      </c>
      <c r="B53" s="277">
        <v>4607141439483</v>
      </c>
      <c r="C53" s="278" t="s">
        <v>761</v>
      </c>
      <c r="D53" s="279" t="s">
        <v>877</v>
      </c>
      <c r="E53" s="279" t="s">
        <v>878</v>
      </c>
      <c r="F53" s="280" t="s">
        <v>837</v>
      </c>
      <c r="G53" s="281" t="s">
        <v>833</v>
      </c>
      <c r="H53" s="277">
        <v>12</v>
      </c>
      <c r="I53" s="277">
        <v>25</v>
      </c>
      <c r="J53" s="277">
        <v>24</v>
      </c>
      <c r="K53" s="278" t="s">
        <v>851</v>
      </c>
      <c r="L53" s="278" t="s">
        <v>767</v>
      </c>
      <c r="M53" s="282" t="s">
        <v>768</v>
      </c>
      <c r="N53" s="283">
        <v>3093</v>
      </c>
    </row>
    <row r="54" spans="1:14" ht="25.5" x14ac:dyDescent="0.2">
      <c r="A54" s="276">
        <v>1008803</v>
      </c>
      <c r="B54" s="277">
        <v>4607141439490</v>
      </c>
      <c r="C54" s="278" t="s">
        <v>761</v>
      </c>
      <c r="D54" s="279" t="s">
        <v>879</v>
      </c>
      <c r="E54" s="279" t="s">
        <v>880</v>
      </c>
      <c r="F54" s="280" t="s">
        <v>881</v>
      </c>
      <c r="G54" s="281" t="s">
        <v>833</v>
      </c>
      <c r="H54" s="277">
        <v>12</v>
      </c>
      <c r="I54" s="277">
        <v>25</v>
      </c>
      <c r="J54" s="277">
        <v>24</v>
      </c>
      <c r="K54" s="278" t="s">
        <v>851</v>
      </c>
      <c r="L54" s="278" t="s">
        <v>767</v>
      </c>
      <c r="M54" s="282" t="s">
        <v>768</v>
      </c>
      <c r="N54" s="283">
        <v>3093</v>
      </c>
    </row>
    <row r="55" spans="1:14" ht="25.5" x14ac:dyDescent="0.2">
      <c r="A55" s="276">
        <v>1008804</v>
      </c>
      <c r="B55" s="277">
        <v>4607141439506</v>
      </c>
      <c r="C55" s="278" t="s">
        <v>761</v>
      </c>
      <c r="D55" s="279" t="s">
        <v>882</v>
      </c>
      <c r="E55" s="279" t="s">
        <v>883</v>
      </c>
      <c r="F55" s="280" t="s">
        <v>864</v>
      </c>
      <c r="G55" s="281" t="s">
        <v>833</v>
      </c>
      <c r="H55" s="277">
        <v>12</v>
      </c>
      <c r="I55" s="277">
        <v>25</v>
      </c>
      <c r="J55" s="277">
        <v>24</v>
      </c>
      <c r="K55" s="278" t="s">
        <v>851</v>
      </c>
      <c r="L55" s="278" t="s">
        <v>767</v>
      </c>
      <c r="M55" s="282" t="s">
        <v>768</v>
      </c>
      <c r="N55" s="283">
        <v>3093</v>
      </c>
    </row>
    <row r="56" spans="1:14" ht="25.5" x14ac:dyDescent="0.2">
      <c r="A56" s="276">
        <v>1008805</v>
      </c>
      <c r="B56" s="277">
        <v>4607141439513</v>
      </c>
      <c r="C56" s="278" t="s">
        <v>761</v>
      </c>
      <c r="D56" s="279" t="s">
        <v>884</v>
      </c>
      <c r="E56" s="279" t="s">
        <v>885</v>
      </c>
      <c r="F56" s="280" t="s">
        <v>886</v>
      </c>
      <c r="G56" s="281" t="s">
        <v>833</v>
      </c>
      <c r="H56" s="277">
        <v>12</v>
      </c>
      <c r="I56" s="277">
        <v>25</v>
      </c>
      <c r="J56" s="277">
        <v>24</v>
      </c>
      <c r="K56" s="278" t="s">
        <v>851</v>
      </c>
      <c r="L56" s="278" t="s">
        <v>767</v>
      </c>
      <c r="M56" s="282" t="s">
        <v>768</v>
      </c>
      <c r="N56" s="283">
        <v>3093</v>
      </c>
    </row>
    <row r="57" spans="1:14" ht="15" x14ac:dyDescent="0.25">
      <c r="A57" s="632" t="s">
        <v>887</v>
      </c>
      <c r="B57" s="490"/>
      <c r="C57" s="490"/>
      <c r="D57" s="490"/>
      <c r="E57" s="490"/>
      <c r="F57" s="490"/>
      <c r="G57" s="490"/>
      <c r="H57" s="490"/>
      <c r="I57" s="490"/>
      <c r="J57" s="490"/>
      <c r="K57" s="490"/>
      <c r="L57" s="490"/>
      <c r="M57" s="490"/>
      <c r="N57" s="633"/>
    </row>
    <row r="58" spans="1:14" ht="25.5" x14ac:dyDescent="0.2">
      <c r="A58" s="276">
        <v>1011970</v>
      </c>
      <c r="B58" s="277">
        <v>8606010612107</v>
      </c>
      <c r="C58" s="278" t="s">
        <v>761</v>
      </c>
      <c r="D58" s="279" t="s">
        <v>888</v>
      </c>
      <c r="E58" s="279" t="s">
        <v>889</v>
      </c>
      <c r="F58" s="280" t="s">
        <v>890</v>
      </c>
      <c r="G58" s="281" t="s">
        <v>891</v>
      </c>
      <c r="H58" s="277">
        <v>12</v>
      </c>
      <c r="I58" s="277">
        <v>25</v>
      </c>
      <c r="J58" s="277">
        <v>24</v>
      </c>
      <c r="K58" s="278" t="s">
        <v>834</v>
      </c>
      <c r="L58" s="278" t="s">
        <v>767</v>
      </c>
      <c r="M58" s="282" t="s">
        <v>768</v>
      </c>
      <c r="N58" s="283">
        <v>4133</v>
      </c>
    </row>
    <row r="59" spans="1:14" ht="25.5" x14ac:dyDescent="0.2">
      <c r="A59" s="276">
        <v>1011971</v>
      </c>
      <c r="B59" s="277">
        <v>8606010612114</v>
      </c>
      <c r="C59" s="278" t="s">
        <v>761</v>
      </c>
      <c r="D59" s="279" t="s">
        <v>892</v>
      </c>
      <c r="E59" s="279" t="s">
        <v>893</v>
      </c>
      <c r="F59" s="280" t="s">
        <v>890</v>
      </c>
      <c r="G59" s="281" t="s">
        <v>891</v>
      </c>
      <c r="H59" s="277">
        <v>12</v>
      </c>
      <c r="I59" s="277">
        <v>25</v>
      </c>
      <c r="J59" s="277">
        <v>24</v>
      </c>
      <c r="K59" s="278" t="s">
        <v>834</v>
      </c>
      <c r="L59" s="278" t="s">
        <v>767</v>
      </c>
      <c r="M59" s="282" t="s">
        <v>768</v>
      </c>
      <c r="N59" s="283">
        <v>4133</v>
      </c>
    </row>
    <row r="60" spans="1:14" ht="25.5" x14ac:dyDescent="0.2">
      <c r="A60" s="276">
        <v>1011972</v>
      </c>
      <c r="B60" s="277">
        <v>8606010612121</v>
      </c>
      <c r="C60" s="278" t="s">
        <v>761</v>
      </c>
      <c r="D60" s="279" t="s">
        <v>894</v>
      </c>
      <c r="E60" s="279" t="s">
        <v>895</v>
      </c>
      <c r="F60" s="280" t="s">
        <v>890</v>
      </c>
      <c r="G60" s="281" t="s">
        <v>891</v>
      </c>
      <c r="H60" s="277">
        <v>12</v>
      </c>
      <c r="I60" s="277">
        <v>25</v>
      </c>
      <c r="J60" s="277">
        <v>24</v>
      </c>
      <c r="K60" s="278" t="s">
        <v>834</v>
      </c>
      <c r="L60" s="278" t="s">
        <v>767</v>
      </c>
      <c r="M60" s="282" t="s">
        <v>768</v>
      </c>
      <c r="N60" s="283">
        <v>4133</v>
      </c>
    </row>
    <row r="61" spans="1:14" ht="25.5" x14ac:dyDescent="0.2">
      <c r="A61" s="276">
        <v>1011973</v>
      </c>
      <c r="B61" s="277">
        <v>8606010612138</v>
      </c>
      <c r="C61" s="278" t="s">
        <v>761</v>
      </c>
      <c r="D61" s="279" t="s">
        <v>896</v>
      </c>
      <c r="E61" s="279" t="s">
        <v>897</v>
      </c>
      <c r="F61" s="280" t="s">
        <v>890</v>
      </c>
      <c r="G61" s="281" t="s">
        <v>891</v>
      </c>
      <c r="H61" s="277">
        <v>12</v>
      </c>
      <c r="I61" s="277">
        <v>25</v>
      </c>
      <c r="J61" s="277">
        <v>24</v>
      </c>
      <c r="K61" s="278" t="s">
        <v>834</v>
      </c>
      <c r="L61" s="278" t="s">
        <v>767</v>
      </c>
      <c r="M61" s="282" t="s">
        <v>768</v>
      </c>
      <c r="N61" s="283">
        <v>4133</v>
      </c>
    </row>
    <row r="62" spans="1:14" ht="25.5" x14ac:dyDescent="0.2">
      <c r="A62" s="276">
        <v>1011974</v>
      </c>
      <c r="B62" s="277">
        <v>8606010612145</v>
      </c>
      <c r="C62" s="278" t="s">
        <v>761</v>
      </c>
      <c r="D62" s="279" t="s">
        <v>898</v>
      </c>
      <c r="E62" s="279" t="s">
        <v>899</v>
      </c>
      <c r="F62" s="280" t="s">
        <v>890</v>
      </c>
      <c r="G62" s="281" t="s">
        <v>891</v>
      </c>
      <c r="H62" s="277">
        <v>12</v>
      </c>
      <c r="I62" s="277">
        <v>25</v>
      </c>
      <c r="J62" s="277">
        <v>24</v>
      </c>
      <c r="K62" s="278" t="s">
        <v>834</v>
      </c>
      <c r="L62" s="278" t="s">
        <v>767</v>
      </c>
      <c r="M62" s="282" t="s">
        <v>768</v>
      </c>
      <c r="N62" s="283">
        <v>4133</v>
      </c>
    </row>
    <row r="63" spans="1:14" ht="25.5" x14ac:dyDescent="0.2">
      <c r="A63" s="276">
        <v>1011975</v>
      </c>
      <c r="B63" s="277">
        <v>8606010612152</v>
      </c>
      <c r="C63" s="278" t="s">
        <v>761</v>
      </c>
      <c r="D63" s="279" t="s">
        <v>900</v>
      </c>
      <c r="E63" s="279" t="s">
        <v>901</v>
      </c>
      <c r="F63" s="280" t="s">
        <v>890</v>
      </c>
      <c r="G63" s="281" t="s">
        <v>891</v>
      </c>
      <c r="H63" s="277">
        <v>12</v>
      </c>
      <c r="I63" s="277">
        <v>25</v>
      </c>
      <c r="J63" s="277">
        <v>24</v>
      </c>
      <c r="K63" s="278" t="s">
        <v>834</v>
      </c>
      <c r="L63" s="278" t="s">
        <v>767</v>
      </c>
      <c r="M63" s="282" t="s">
        <v>768</v>
      </c>
      <c r="N63" s="283">
        <v>4133</v>
      </c>
    </row>
    <row r="64" spans="1:14" ht="25.5" x14ac:dyDescent="0.2">
      <c r="A64" s="276">
        <v>1011976</v>
      </c>
      <c r="B64" s="277">
        <v>8606010612169</v>
      </c>
      <c r="C64" s="278" t="s">
        <v>761</v>
      </c>
      <c r="D64" s="279" t="s">
        <v>902</v>
      </c>
      <c r="E64" s="279" t="s">
        <v>903</v>
      </c>
      <c r="F64" s="280" t="s">
        <v>890</v>
      </c>
      <c r="G64" s="281" t="s">
        <v>891</v>
      </c>
      <c r="H64" s="277">
        <v>12</v>
      </c>
      <c r="I64" s="277">
        <v>25</v>
      </c>
      <c r="J64" s="277">
        <v>24</v>
      </c>
      <c r="K64" s="278" t="s">
        <v>834</v>
      </c>
      <c r="L64" s="278" t="s">
        <v>767</v>
      </c>
      <c r="M64" s="282" t="s">
        <v>768</v>
      </c>
      <c r="N64" s="283">
        <v>4133</v>
      </c>
    </row>
    <row r="65" spans="1:14" ht="25.5" x14ac:dyDescent="0.2">
      <c r="A65" s="276">
        <v>1011977</v>
      </c>
      <c r="B65" s="277">
        <v>8606010612176</v>
      </c>
      <c r="C65" s="278" t="s">
        <v>761</v>
      </c>
      <c r="D65" s="279" t="s">
        <v>904</v>
      </c>
      <c r="E65" s="279" t="s">
        <v>905</v>
      </c>
      <c r="F65" s="280" t="s">
        <v>890</v>
      </c>
      <c r="G65" s="281" t="s">
        <v>891</v>
      </c>
      <c r="H65" s="277">
        <v>12</v>
      </c>
      <c r="I65" s="277">
        <v>25</v>
      </c>
      <c r="J65" s="277">
        <v>24</v>
      </c>
      <c r="K65" s="278" t="s">
        <v>834</v>
      </c>
      <c r="L65" s="278" t="s">
        <v>767</v>
      </c>
      <c r="M65" s="282" t="s">
        <v>768</v>
      </c>
      <c r="N65" s="283">
        <v>4133</v>
      </c>
    </row>
    <row r="66" spans="1:14" ht="25.5" x14ac:dyDescent="0.2">
      <c r="A66" s="276">
        <v>1011978</v>
      </c>
      <c r="B66" s="277">
        <v>8606010612183</v>
      </c>
      <c r="C66" s="278" t="s">
        <v>761</v>
      </c>
      <c r="D66" s="279" t="s">
        <v>906</v>
      </c>
      <c r="E66" s="279" t="s">
        <v>907</v>
      </c>
      <c r="F66" s="280" t="s">
        <v>890</v>
      </c>
      <c r="G66" s="281" t="s">
        <v>891</v>
      </c>
      <c r="H66" s="277">
        <v>12</v>
      </c>
      <c r="I66" s="277">
        <v>25</v>
      </c>
      <c r="J66" s="277">
        <v>24</v>
      </c>
      <c r="K66" s="278" t="s">
        <v>834</v>
      </c>
      <c r="L66" s="278" t="s">
        <v>767</v>
      </c>
      <c r="M66" s="282" t="s">
        <v>768</v>
      </c>
      <c r="N66" s="283">
        <v>4133</v>
      </c>
    </row>
    <row r="67" spans="1:14" ht="25.5" x14ac:dyDescent="0.2">
      <c r="A67" s="276">
        <v>1011979</v>
      </c>
      <c r="B67" s="277">
        <v>8606010612190</v>
      </c>
      <c r="C67" s="278" t="s">
        <v>761</v>
      </c>
      <c r="D67" s="279" t="s">
        <v>908</v>
      </c>
      <c r="E67" s="279" t="s">
        <v>909</v>
      </c>
      <c r="F67" s="280" t="s">
        <v>890</v>
      </c>
      <c r="G67" s="281" t="s">
        <v>891</v>
      </c>
      <c r="H67" s="277">
        <v>12</v>
      </c>
      <c r="I67" s="277">
        <v>25</v>
      </c>
      <c r="J67" s="277">
        <v>24</v>
      </c>
      <c r="K67" s="278" t="s">
        <v>834</v>
      </c>
      <c r="L67" s="278" t="s">
        <v>767</v>
      </c>
      <c r="M67" s="282" t="s">
        <v>768</v>
      </c>
      <c r="N67" s="283">
        <v>4133</v>
      </c>
    </row>
    <row r="68" spans="1:14" ht="25.5" x14ac:dyDescent="0.2">
      <c r="A68" s="276">
        <v>1011980</v>
      </c>
      <c r="B68" s="277">
        <v>8606010612206</v>
      </c>
      <c r="C68" s="278" t="s">
        <v>761</v>
      </c>
      <c r="D68" s="279" t="s">
        <v>910</v>
      </c>
      <c r="E68" s="279" t="s">
        <v>911</v>
      </c>
      <c r="F68" s="280" t="s">
        <v>890</v>
      </c>
      <c r="G68" s="281" t="s">
        <v>891</v>
      </c>
      <c r="H68" s="277">
        <v>12</v>
      </c>
      <c r="I68" s="277">
        <v>25</v>
      </c>
      <c r="J68" s="277">
        <v>24</v>
      </c>
      <c r="K68" s="278" t="s">
        <v>834</v>
      </c>
      <c r="L68" s="278" t="s">
        <v>767</v>
      </c>
      <c r="M68" s="282" t="s">
        <v>768</v>
      </c>
      <c r="N68" s="283">
        <v>4133</v>
      </c>
    </row>
    <row r="69" spans="1:14" ht="25.5" x14ac:dyDescent="0.2">
      <c r="A69" s="276">
        <v>1011981</v>
      </c>
      <c r="B69" s="277">
        <v>8606010612213</v>
      </c>
      <c r="C69" s="278" t="s">
        <v>761</v>
      </c>
      <c r="D69" s="279" t="s">
        <v>912</v>
      </c>
      <c r="E69" s="279" t="s">
        <v>913</v>
      </c>
      <c r="F69" s="280" t="s">
        <v>890</v>
      </c>
      <c r="G69" s="281" t="s">
        <v>891</v>
      </c>
      <c r="H69" s="277">
        <v>12</v>
      </c>
      <c r="I69" s="277">
        <v>25</v>
      </c>
      <c r="J69" s="277">
        <v>24</v>
      </c>
      <c r="K69" s="278" t="s">
        <v>834</v>
      </c>
      <c r="L69" s="278" t="s">
        <v>767</v>
      </c>
      <c r="M69" s="282" t="s">
        <v>768</v>
      </c>
      <c r="N69" s="283">
        <v>4133</v>
      </c>
    </row>
    <row r="70" spans="1:14" ht="25.5" x14ac:dyDescent="0.2">
      <c r="A70" s="276">
        <v>1011982</v>
      </c>
      <c r="B70" s="277">
        <v>8606010612220</v>
      </c>
      <c r="C70" s="278" t="s">
        <v>761</v>
      </c>
      <c r="D70" s="279" t="s">
        <v>914</v>
      </c>
      <c r="E70" s="279" t="s">
        <v>915</v>
      </c>
      <c r="F70" s="280" t="s">
        <v>890</v>
      </c>
      <c r="G70" s="281" t="s">
        <v>891</v>
      </c>
      <c r="H70" s="277">
        <v>12</v>
      </c>
      <c r="I70" s="277">
        <v>25</v>
      </c>
      <c r="J70" s="277">
        <v>24</v>
      </c>
      <c r="K70" s="278" t="s">
        <v>834</v>
      </c>
      <c r="L70" s="278" t="s">
        <v>767</v>
      </c>
      <c r="M70" s="282" t="s">
        <v>768</v>
      </c>
      <c r="N70" s="283">
        <v>4133</v>
      </c>
    </row>
    <row r="71" spans="1:14" ht="25.5" x14ac:dyDescent="0.2">
      <c r="A71" s="276">
        <v>1011983</v>
      </c>
      <c r="B71" s="277">
        <v>8606010612237</v>
      </c>
      <c r="C71" s="278" t="s">
        <v>761</v>
      </c>
      <c r="D71" s="279" t="s">
        <v>916</v>
      </c>
      <c r="E71" s="279" t="s">
        <v>917</v>
      </c>
      <c r="F71" s="280" t="s">
        <v>890</v>
      </c>
      <c r="G71" s="281" t="s">
        <v>891</v>
      </c>
      <c r="H71" s="277">
        <v>12</v>
      </c>
      <c r="I71" s="277">
        <v>25</v>
      </c>
      <c r="J71" s="277">
        <v>24</v>
      </c>
      <c r="K71" s="278" t="s">
        <v>834</v>
      </c>
      <c r="L71" s="278" t="s">
        <v>767</v>
      </c>
      <c r="M71" s="282" t="s">
        <v>768</v>
      </c>
      <c r="N71" s="283">
        <v>4133</v>
      </c>
    </row>
    <row r="72" spans="1:14" ht="25.5" x14ac:dyDescent="0.2">
      <c r="A72" s="276">
        <v>1011985</v>
      </c>
      <c r="B72" s="277">
        <v>8606010612244</v>
      </c>
      <c r="C72" s="278" t="s">
        <v>761</v>
      </c>
      <c r="D72" s="279" t="s">
        <v>918</v>
      </c>
      <c r="E72" s="279" t="s">
        <v>919</v>
      </c>
      <c r="F72" s="280" t="s">
        <v>890</v>
      </c>
      <c r="G72" s="281" t="s">
        <v>891</v>
      </c>
      <c r="H72" s="277">
        <v>12</v>
      </c>
      <c r="I72" s="277">
        <v>25</v>
      </c>
      <c r="J72" s="277">
        <v>24</v>
      </c>
      <c r="K72" s="278" t="s">
        <v>834</v>
      </c>
      <c r="L72" s="278" t="s">
        <v>767</v>
      </c>
      <c r="M72" s="282" t="s">
        <v>768</v>
      </c>
      <c r="N72" s="283">
        <v>4133</v>
      </c>
    </row>
    <row r="73" spans="1:14" ht="25.5" x14ac:dyDescent="0.2">
      <c r="A73" s="276">
        <v>1011986</v>
      </c>
      <c r="B73" s="277">
        <v>8606010612251</v>
      </c>
      <c r="C73" s="278" t="s">
        <v>761</v>
      </c>
      <c r="D73" s="279" t="s">
        <v>920</v>
      </c>
      <c r="E73" s="279" t="s">
        <v>921</v>
      </c>
      <c r="F73" s="280" t="s">
        <v>890</v>
      </c>
      <c r="G73" s="281" t="s">
        <v>891</v>
      </c>
      <c r="H73" s="277">
        <v>12</v>
      </c>
      <c r="I73" s="277">
        <v>25</v>
      </c>
      <c r="J73" s="277">
        <v>24</v>
      </c>
      <c r="K73" s="278" t="s">
        <v>834</v>
      </c>
      <c r="L73" s="278" t="s">
        <v>767</v>
      </c>
      <c r="M73" s="282" t="s">
        <v>768</v>
      </c>
      <c r="N73" s="283">
        <v>4133</v>
      </c>
    </row>
    <row r="74" spans="1:14" ht="25.5" x14ac:dyDescent="0.2">
      <c r="A74" s="276">
        <v>1011987</v>
      </c>
      <c r="B74" s="277">
        <v>8606010612268</v>
      </c>
      <c r="C74" s="278" t="s">
        <v>761</v>
      </c>
      <c r="D74" s="279" t="s">
        <v>922</v>
      </c>
      <c r="E74" s="279" t="s">
        <v>923</v>
      </c>
      <c r="F74" s="280" t="s">
        <v>890</v>
      </c>
      <c r="G74" s="281" t="s">
        <v>891</v>
      </c>
      <c r="H74" s="277">
        <v>12</v>
      </c>
      <c r="I74" s="277">
        <v>25</v>
      </c>
      <c r="J74" s="277">
        <v>24</v>
      </c>
      <c r="K74" s="278" t="s">
        <v>834</v>
      </c>
      <c r="L74" s="278" t="s">
        <v>767</v>
      </c>
      <c r="M74" s="282" t="s">
        <v>768</v>
      </c>
      <c r="N74" s="283">
        <v>4133</v>
      </c>
    </row>
    <row r="75" spans="1:14" ht="25.5" x14ac:dyDescent="0.2">
      <c r="A75" s="276">
        <v>1011988</v>
      </c>
      <c r="B75" s="277">
        <v>8606010612275</v>
      </c>
      <c r="C75" s="278" t="s">
        <v>761</v>
      </c>
      <c r="D75" s="279" t="s">
        <v>924</v>
      </c>
      <c r="E75" s="279" t="s">
        <v>925</v>
      </c>
      <c r="F75" s="280" t="s">
        <v>890</v>
      </c>
      <c r="G75" s="281" t="s">
        <v>891</v>
      </c>
      <c r="H75" s="277">
        <v>12</v>
      </c>
      <c r="I75" s="277">
        <v>25</v>
      </c>
      <c r="J75" s="277">
        <v>24</v>
      </c>
      <c r="K75" s="278" t="s">
        <v>834</v>
      </c>
      <c r="L75" s="278" t="s">
        <v>767</v>
      </c>
      <c r="M75" s="282" t="s">
        <v>768</v>
      </c>
      <c r="N75" s="283">
        <v>4133</v>
      </c>
    </row>
    <row r="76" spans="1:14" ht="25.5" x14ac:dyDescent="0.2">
      <c r="A76" s="276">
        <v>1011989</v>
      </c>
      <c r="B76" s="277">
        <v>8606010612282</v>
      </c>
      <c r="C76" s="278" t="s">
        <v>761</v>
      </c>
      <c r="D76" s="279" t="s">
        <v>926</v>
      </c>
      <c r="E76" s="279" t="s">
        <v>927</v>
      </c>
      <c r="F76" s="280" t="s">
        <v>890</v>
      </c>
      <c r="G76" s="281" t="s">
        <v>891</v>
      </c>
      <c r="H76" s="277">
        <v>12</v>
      </c>
      <c r="I76" s="277">
        <v>25</v>
      </c>
      <c r="J76" s="277">
        <v>24</v>
      </c>
      <c r="K76" s="278" t="s">
        <v>834</v>
      </c>
      <c r="L76" s="278" t="s">
        <v>767</v>
      </c>
      <c r="M76" s="282" t="s">
        <v>768</v>
      </c>
      <c r="N76" s="283">
        <v>4133</v>
      </c>
    </row>
    <row r="77" spans="1:14" ht="25.5" x14ac:dyDescent="0.2">
      <c r="A77" s="276">
        <v>1011990</v>
      </c>
      <c r="B77" s="277">
        <v>8606010612299</v>
      </c>
      <c r="C77" s="278" t="s">
        <v>761</v>
      </c>
      <c r="D77" s="279" t="s">
        <v>928</v>
      </c>
      <c r="E77" s="279" t="s">
        <v>929</v>
      </c>
      <c r="F77" s="280" t="s">
        <v>890</v>
      </c>
      <c r="G77" s="281" t="s">
        <v>891</v>
      </c>
      <c r="H77" s="277">
        <v>12</v>
      </c>
      <c r="I77" s="277">
        <v>25</v>
      </c>
      <c r="J77" s="277">
        <v>24</v>
      </c>
      <c r="K77" s="278" t="s">
        <v>834</v>
      </c>
      <c r="L77" s="278" t="s">
        <v>767</v>
      </c>
      <c r="M77" s="282" t="s">
        <v>768</v>
      </c>
      <c r="N77" s="283">
        <v>4133</v>
      </c>
    </row>
    <row r="78" spans="1:14" ht="25.5" x14ac:dyDescent="0.2">
      <c r="A78" s="276">
        <v>1011991</v>
      </c>
      <c r="B78" s="277">
        <v>8606010612305</v>
      </c>
      <c r="C78" s="278" t="s">
        <v>761</v>
      </c>
      <c r="D78" s="279" t="s">
        <v>930</v>
      </c>
      <c r="E78" s="279" t="s">
        <v>931</v>
      </c>
      <c r="F78" s="280" t="s">
        <v>890</v>
      </c>
      <c r="G78" s="281" t="s">
        <v>891</v>
      </c>
      <c r="H78" s="277">
        <v>12</v>
      </c>
      <c r="I78" s="277">
        <v>25</v>
      </c>
      <c r="J78" s="277">
        <v>24</v>
      </c>
      <c r="K78" s="278" t="s">
        <v>834</v>
      </c>
      <c r="L78" s="278" t="s">
        <v>767</v>
      </c>
      <c r="M78" s="282" t="s">
        <v>768</v>
      </c>
      <c r="N78" s="283">
        <v>4133</v>
      </c>
    </row>
    <row r="79" spans="1:14" ht="25.5" x14ac:dyDescent="0.2">
      <c r="A79" s="276">
        <v>1011992</v>
      </c>
      <c r="B79" s="277">
        <v>8606010612312</v>
      </c>
      <c r="C79" s="278" t="s">
        <v>761</v>
      </c>
      <c r="D79" s="279" t="s">
        <v>932</v>
      </c>
      <c r="E79" s="279" t="s">
        <v>933</v>
      </c>
      <c r="F79" s="280" t="s">
        <v>890</v>
      </c>
      <c r="G79" s="281" t="s">
        <v>891</v>
      </c>
      <c r="H79" s="277">
        <v>12</v>
      </c>
      <c r="I79" s="277">
        <v>25</v>
      </c>
      <c r="J79" s="277">
        <v>24</v>
      </c>
      <c r="K79" s="278" t="s">
        <v>834</v>
      </c>
      <c r="L79" s="278" t="s">
        <v>767</v>
      </c>
      <c r="M79" s="282" t="s">
        <v>768</v>
      </c>
      <c r="N79" s="283">
        <v>4133</v>
      </c>
    </row>
    <row r="80" spans="1:14" ht="25.5" x14ac:dyDescent="0.2">
      <c r="A80" s="276">
        <v>1011993</v>
      </c>
      <c r="B80" s="277">
        <v>8606010612329</v>
      </c>
      <c r="C80" s="278" t="s">
        <v>761</v>
      </c>
      <c r="D80" s="279" t="s">
        <v>934</v>
      </c>
      <c r="E80" s="279" t="s">
        <v>935</v>
      </c>
      <c r="F80" s="280" t="s">
        <v>890</v>
      </c>
      <c r="G80" s="281" t="s">
        <v>891</v>
      </c>
      <c r="H80" s="277">
        <v>12</v>
      </c>
      <c r="I80" s="277">
        <v>25</v>
      </c>
      <c r="J80" s="277">
        <v>24</v>
      </c>
      <c r="K80" s="278" t="s">
        <v>834</v>
      </c>
      <c r="L80" s="278" t="s">
        <v>767</v>
      </c>
      <c r="M80" s="282" t="s">
        <v>768</v>
      </c>
      <c r="N80" s="283">
        <v>4133</v>
      </c>
    </row>
    <row r="81" spans="1:14" ht="25.5" x14ac:dyDescent="0.2">
      <c r="A81" s="276">
        <v>1011994</v>
      </c>
      <c r="B81" s="277">
        <v>8606010612336</v>
      </c>
      <c r="C81" s="278" t="s">
        <v>761</v>
      </c>
      <c r="D81" s="279" t="s">
        <v>936</v>
      </c>
      <c r="E81" s="279" t="s">
        <v>937</v>
      </c>
      <c r="F81" s="280" t="s">
        <v>890</v>
      </c>
      <c r="G81" s="281" t="s">
        <v>891</v>
      </c>
      <c r="H81" s="277">
        <v>12</v>
      </c>
      <c r="I81" s="277">
        <v>25</v>
      </c>
      <c r="J81" s="277">
        <v>24</v>
      </c>
      <c r="K81" s="278" t="s">
        <v>834</v>
      </c>
      <c r="L81" s="278" t="s">
        <v>767</v>
      </c>
      <c r="M81" s="282" t="s">
        <v>768</v>
      </c>
      <c r="N81" s="283">
        <v>4133</v>
      </c>
    </row>
    <row r="82" spans="1:14" ht="25.5" x14ac:dyDescent="0.2">
      <c r="A82" s="276">
        <v>1011995</v>
      </c>
      <c r="B82" s="277">
        <v>8606010612343</v>
      </c>
      <c r="C82" s="278" t="s">
        <v>761</v>
      </c>
      <c r="D82" s="279" t="s">
        <v>938</v>
      </c>
      <c r="E82" s="279" t="s">
        <v>939</v>
      </c>
      <c r="F82" s="280" t="s">
        <v>890</v>
      </c>
      <c r="G82" s="281" t="s">
        <v>891</v>
      </c>
      <c r="H82" s="277">
        <v>12</v>
      </c>
      <c r="I82" s="277">
        <v>25</v>
      </c>
      <c r="J82" s="277">
        <v>24</v>
      </c>
      <c r="K82" s="278" t="s">
        <v>834</v>
      </c>
      <c r="L82" s="278" t="s">
        <v>767</v>
      </c>
      <c r="M82" s="282" t="s">
        <v>768</v>
      </c>
      <c r="N82" s="283">
        <v>4133</v>
      </c>
    </row>
    <row r="83" spans="1:14" ht="15" x14ac:dyDescent="0.25">
      <c r="A83" s="632" t="s">
        <v>940</v>
      </c>
      <c r="B83" s="490"/>
      <c r="C83" s="490"/>
      <c r="D83" s="490"/>
      <c r="E83" s="490"/>
      <c r="F83" s="490"/>
      <c r="G83" s="490"/>
      <c r="H83" s="490"/>
      <c r="I83" s="490"/>
      <c r="J83" s="490"/>
      <c r="K83" s="490"/>
      <c r="L83" s="490"/>
      <c r="M83" s="490"/>
      <c r="N83" s="633"/>
    </row>
    <row r="84" spans="1:14" ht="38.25" x14ac:dyDescent="0.2">
      <c r="A84" s="276">
        <v>1011040</v>
      </c>
      <c r="B84" s="277">
        <v>8606010611667</v>
      </c>
      <c r="C84" s="278" t="s">
        <v>761</v>
      </c>
      <c r="D84" s="279" t="s">
        <v>941</v>
      </c>
      <c r="E84" s="279" t="s">
        <v>942</v>
      </c>
      <c r="F84" s="280" t="s">
        <v>943</v>
      </c>
      <c r="G84" s="281" t="s">
        <v>833</v>
      </c>
      <c r="H84" s="277">
        <v>12</v>
      </c>
      <c r="I84" s="277">
        <v>25</v>
      </c>
      <c r="J84" s="277">
        <v>24</v>
      </c>
      <c r="K84" s="278" t="s">
        <v>806</v>
      </c>
      <c r="L84" s="278" t="s">
        <v>767</v>
      </c>
      <c r="M84" s="282" t="s">
        <v>768</v>
      </c>
      <c r="N84" s="283">
        <v>4533</v>
      </c>
    </row>
    <row r="85" spans="1:14" ht="38.25" x14ac:dyDescent="0.2">
      <c r="A85" s="276">
        <v>1012028</v>
      </c>
      <c r="B85" s="277">
        <v>8606010611766</v>
      </c>
      <c r="C85" s="278" t="s">
        <v>761</v>
      </c>
      <c r="D85" s="279" t="s">
        <v>944</v>
      </c>
      <c r="E85" s="279" t="s">
        <v>945</v>
      </c>
      <c r="F85" s="280" t="s">
        <v>946</v>
      </c>
      <c r="G85" s="281" t="s">
        <v>833</v>
      </c>
      <c r="H85" s="277">
        <v>12</v>
      </c>
      <c r="I85" s="277">
        <v>25</v>
      </c>
      <c r="J85" s="277">
        <v>24</v>
      </c>
      <c r="K85" s="278" t="s">
        <v>806</v>
      </c>
      <c r="L85" s="278" t="s">
        <v>767</v>
      </c>
      <c r="M85" s="282" t="s">
        <v>768</v>
      </c>
      <c r="N85" s="283">
        <v>4535</v>
      </c>
    </row>
    <row r="86" spans="1:14" ht="12.75" customHeight="1" x14ac:dyDescent="0.2">
      <c r="A86" s="276">
        <v>1011948</v>
      </c>
      <c r="B86" s="277">
        <v>8606010611643</v>
      </c>
      <c r="C86" s="278" t="s">
        <v>761</v>
      </c>
      <c r="D86" s="279" t="s">
        <v>947</v>
      </c>
      <c r="E86" s="279" t="s">
        <v>948</v>
      </c>
      <c r="F86" s="280" t="s">
        <v>949</v>
      </c>
      <c r="G86" s="281" t="s">
        <v>833</v>
      </c>
      <c r="H86" s="277">
        <v>12</v>
      </c>
      <c r="I86" s="277">
        <v>25</v>
      </c>
      <c r="J86" s="277">
        <v>24</v>
      </c>
      <c r="K86" s="278" t="s">
        <v>806</v>
      </c>
      <c r="L86" s="278" t="s">
        <v>767</v>
      </c>
      <c r="M86" s="282" t="s">
        <v>768</v>
      </c>
      <c r="N86" s="283">
        <v>5397</v>
      </c>
    </row>
    <row r="87" spans="1:14" ht="26.25" thickBot="1" x14ac:dyDescent="0.25">
      <c r="A87" s="297">
        <v>1011932</v>
      </c>
      <c r="B87" s="298">
        <v>8606010611759</v>
      </c>
      <c r="C87" s="299" t="s">
        <v>761</v>
      </c>
      <c r="D87" s="300" t="s">
        <v>950</v>
      </c>
      <c r="E87" s="300" t="s">
        <v>951</v>
      </c>
      <c r="F87" s="301" t="s">
        <v>952</v>
      </c>
      <c r="G87" s="302" t="s">
        <v>953</v>
      </c>
      <c r="H87" s="298">
        <v>12</v>
      </c>
      <c r="I87" s="298">
        <v>5</v>
      </c>
      <c r="J87" s="298">
        <v>60</v>
      </c>
      <c r="K87" s="299" t="s">
        <v>806</v>
      </c>
      <c r="L87" s="299" t="s">
        <v>767</v>
      </c>
      <c r="M87" s="303" t="s">
        <v>768</v>
      </c>
      <c r="N87" s="304">
        <v>1714</v>
      </c>
    </row>
    <row r="88" spans="1:14" ht="15" x14ac:dyDescent="0.25">
      <c r="A88" s="632"/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633"/>
    </row>
  </sheetData>
  <mergeCells count="10">
    <mergeCell ref="A51:N51"/>
    <mergeCell ref="A57:N57"/>
    <mergeCell ref="A83:N83"/>
    <mergeCell ref="A88:N88"/>
    <mergeCell ref="A16:N16"/>
    <mergeCell ref="A23:N23"/>
    <mergeCell ref="A25:N25"/>
    <mergeCell ref="A32:N32"/>
    <mergeCell ref="A39:N39"/>
    <mergeCell ref="A46:N46"/>
  </mergeCells>
  <hyperlinks>
    <hyperlink ref="B11" location="Общий!A1" display="на главную"/>
    <hyperlink ref="B7" location="Общий!A1" display="на главную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3:F102"/>
  <sheetViews>
    <sheetView zoomScale="110" zoomScaleNormal="110" workbookViewId="0">
      <selection activeCell="D6" sqref="D6"/>
    </sheetView>
  </sheetViews>
  <sheetFormatPr defaultRowHeight="15" x14ac:dyDescent="0.25"/>
  <cols>
    <col min="1" max="1" width="31" customWidth="1"/>
    <col min="2" max="2" width="26.42578125" customWidth="1"/>
    <col min="3" max="3" width="25.7109375" customWidth="1"/>
    <col min="4" max="4" width="25.5703125" customWidth="1"/>
    <col min="5" max="5" width="26" customWidth="1"/>
    <col min="6" max="6" width="31.140625" customWidth="1"/>
    <col min="7" max="7" width="14.28515625" customWidth="1"/>
    <col min="8" max="8" width="13.85546875" customWidth="1"/>
    <col min="9" max="9" width="25.140625" customWidth="1"/>
    <col min="10" max="11" width="17.42578125" customWidth="1"/>
    <col min="12" max="12" width="18.5703125" customWidth="1"/>
  </cols>
  <sheetData>
    <row r="3" spans="1:6" ht="23.25" x14ac:dyDescent="0.35">
      <c r="C3" s="14" t="s">
        <v>220</v>
      </c>
    </row>
    <row r="4" spans="1:6" ht="39" customHeight="1" x14ac:dyDescent="0.25"/>
    <row r="5" spans="1:6" ht="21" x14ac:dyDescent="0.35">
      <c r="A5" s="25" t="s">
        <v>745</v>
      </c>
      <c r="C5" s="16"/>
    </row>
    <row r="6" spans="1:6" ht="38.25" customHeight="1" thickBot="1" x14ac:dyDescent="0.35">
      <c r="B6" s="383" t="s">
        <v>29</v>
      </c>
      <c r="C6" s="15"/>
      <c r="D6" t="s">
        <v>119</v>
      </c>
    </row>
    <row r="7" spans="1:6" s="32" customFormat="1" ht="47.25" x14ac:dyDescent="0.25">
      <c r="A7" s="308" t="s">
        <v>124</v>
      </c>
      <c r="B7" s="309" t="s">
        <v>125</v>
      </c>
      <c r="C7" s="309" t="s">
        <v>126</v>
      </c>
      <c r="D7" s="309" t="s">
        <v>127</v>
      </c>
      <c r="E7" s="309" t="s">
        <v>128</v>
      </c>
      <c r="F7" s="310" t="s">
        <v>129</v>
      </c>
    </row>
    <row r="8" spans="1:6" s="37" customFormat="1" x14ac:dyDescent="0.25">
      <c r="A8" s="489" t="s">
        <v>130</v>
      </c>
      <c r="B8" s="490"/>
      <c r="C8" s="490"/>
      <c r="D8" s="490"/>
      <c r="E8" s="490"/>
      <c r="F8" s="491"/>
    </row>
    <row r="9" spans="1:6" s="37" customFormat="1" x14ac:dyDescent="0.25">
      <c r="A9" s="38" t="s">
        <v>131</v>
      </c>
      <c r="B9" s="39">
        <v>1520</v>
      </c>
      <c r="C9" s="39">
        <f>ROUNDUP(($B9/100)*95,0)</f>
        <v>1444</v>
      </c>
      <c r="D9" s="39">
        <f>ROUNDUP(($B9/100)*93,0)</f>
        <v>1414</v>
      </c>
      <c r="E9" s="39">
        <f>ROUNDUP(($B9/100)*90,0)</f>
        <v>1368</v>
      </c>
      <c r="F9" s="311" t="s">
        <v>132</v>
      </c>
    </row>
    <row r="10" spans="1:6" s="37" customFormat="1" x14ac:dyDescent="0.25">
      <c r="A10" s="38" t="s">
        <v>133</v>
      </c>
      <c r="B10" s="39">
        <v>1520</v>
      </c>
      <c r="C10" s="39">
        <f t="shared" ref="C10:C56" si="0">ROUNDUP(($B10/100)*95,0)</f>
        <v>1444</v>
      </c>
      <c r="D10" s="39">
        <f t="shared" ref="D10:D56" si="1">ROUNDUP(($B10/100)*93,0)</f>
        <v>1414</v>
      </c>
      <c r="E10" s="39">
        <f t="shared" ref="E10:E56" si="2">ROUNDUP(($B10/100)*90,0)</f>
        <v>1368</v>
      </c>
      <c r="F10" s="311" t="s">
        <v>132</v>
      </c>
    </row>
    <row r="11" spans="1:6" s="37" customFormat="1" x14ac:dyDescent="0.25">
      <c r="A11" s="38" t="s">
        <v>134</v>
      </c>
      <c r="B11" s="39">
        <v>1450</v>
      </c>
      <c r="C11" s="39">
        <f t="shared" si="0"/>
        <v>1378</v>
      </c>
      <c r="D11" s="39">
        <f t="shared" si="1"/>
        <v>1349</v>
      </c>
      <c r="E11" s="39">
        <f t="shared" si="2"/>
        <v>1305</v>
      </c>
      <c r="F11" s="311" t="s">
        <v>132</v>
      </c>
    </row>
    <row r="12" spans="1:6" s="37" customFormat="1" x14ac:dyDescent="0.25">
      <c r="A12" s="38" t="s">
        <v>135</v>
      </c>
      <c r="B12" s="39">
        <v>1450</v>
      </c>
      <c r="C12" s="39">
        <f t="shared" si="0"/>
        <v>1378</v>
      </c>
      <c r="D12" s="39">
        <f t="shared" si="1"/>
        <v>1349</v>
      </c>
      <c r="E12" s="39">
        <f t="shared" si="2"/>
        <v>1305</v>
      </c>
      <c r="F12" s="311" t="s">
        <v>132</v>
      </c>
    </row>
    <row r="13" spans="1:6" s="37" customFormat="1" x14ac:dyDescent="0.25">
      <c r="A13" s="38" t="s">
        <v>136</v>
      </c>
      <c r="B13" s="39">
        <v>1450</v>
      </c>
      <c r="C13" s="39">
        <f t="shared" si="0"/>
        <v>1378</v>
      </c>
      <c r="D13" s="39">
        <f t="shared" si="1"/>
        <v>1349</v>
      </c>
      <c r="E13" s="39">
        <f t="shared" si="2"/>
        <v>1305</v>
      </c>
      <c r="F13" s="311" t="s">
        <v>132</v>
      </c>
    </row>
    <row r="14" spans="1:6" s="37" customFormat="1" x14ac:dyDescent="0.25">
      <c r="A14" s="38" t="s">
        <v>137</v>
      </c>
      <c r="B14" s="39">
        <v>1450</v>
      </c>
      <c r="C14" s="39">
        <f t="shared" si="0"/>
        <v>1378</v>
      </c>
      <c r="D14" s="39">
        <f t="shared" si="1"/>
        <v>1349</v>
      </c>
      <c r="E14" s="39">
        <f t="shared" si="2"/>
        <v>1305</v>
      </c>
      <c r="F14" s="311" t="s">
        <v>132</v>
      </c>
    </row>
    <row r="15" spans="1:6" s="37" customFormat="1" x14ac:dyDescent="0.25">
      <c r="A15" s="38" t="s">
        <v>138</v>
      </c>
      <c r="B15" s="39">
        <v>1150</v>
      </c>
      <c r="C15" s="39">
        <f>ROUNDUP(($B15/100)*95,0)</f>
        <v>1093</v>
      </c>
      <c r="D15" s="39">
        <f>ROUNDUP(($B15/100)*93,0)</f>
        <v>1070</v>
      </c>
      <c r="E15" s="39">
        <f>ROUNDUP(($B15/100)*90,0)</f>
        <v>1035</v>
      </c>
      <c r="F15" s="311" t="s">
        <v>132</v>
      </c>
    </row>
    <row r="16" spans="1:6" s="37" customFormat="1" x14ac:dyDescent="0.25">
      <c r="A16" s="38" t="s">
        <v>139</v>
      </c>
      <c r="B16" s="39">
        <v>1150</v>
      </c>
      <c r="C16" s="39">
        <f>ROUNDUP(($B16/100)*95,0)</f>
        <v>1093</v>
      </c>
      <c r="D16" s="39">
        <f>ROUNDUP(($B16/100)*93,0)</f>
        <v>1070</v>
      </c>
      <c r="E16" s="39">
        <f>ROUNDUP(($B16/100)*90,0)</f>
        <v>1035</v>
      </c>
      <c r="F16" s="311" t="s">
        <v>132</v>
      </c>
    </row>
    <row r="17" spans="1:6" s="37" customFormat="1" x14ac:dyDescent="0.25">
      <c r="A17" s="38" t="s">
        <v>140</v>
      </c>
      <c r="B17" s="39">
        <v>1350</v>
      </c>
      <c r="C17" s="39">
        <f t="shared" si="0"/>
        <v>1283</v>
      </c>
      <c r="D17" s="39">
        <f t="shared" si="1"/>
        <v>1256</v>
      </c>
      <c r="E17" s="39">
        <f t="shared" si="2"/>
        <v>1215</v>
      </c>
      <c r="F17" s="311" t="s">
        <v>132</v>
      </c>
    </row>
    <row r="18" spans="1:6" s="37" customFormat="1" x14ac:dyDescent="0.25">
      <c r="A18" s="38" t="s">
        <v>141</v>
      </c>
      <c r="B18" s="39">
        <v>1290</v>
      </c>
      <c r="C18" s="39">
        <f t="shared" si="0"/>
        <v>1226</v>
      </c>
      <c r="D18" s="39">
        <f t="shared" si="1"/>
        <v>1200</v>
      </c>
      <c r="E18" s="39">
        <f t="shared" si="2"/>
        <v>1161</v>
      </c>
      <c r="F18" s="311" t="s">
        <v>132</v>
      </c>
    </row>
    <row r="19" spans="1:6" s="37" customFormat="1" x14ac:dyDescent="0.25">
      <c r="A19" s="38" t="s">
        <v>142</v>
      </c>
      <c r="B19" s="39">
        <v>1290</v>
      </c>
      <c r="C19" s="39">
        <f t="shared" si="0"/>
        <v>1226</v>
      </c>
      <c r="D19" s="39">
        <f t="shared" si="1"/>
        <v>1200</v>
      </c>
      <c r="E19" s="39">
        <f t="shared" si="2"/>
        <v>1161</v>
      </c>
      <c r="F19" s="311" t="s">
        <v>132</v>
      </c>
    </row>
    <row r="20" spans="1:6" s="37" customFormat="1" x14ac:dyDescent="0.25">
      <c r="A20" s="38" t="s">
        <v>143</v>
      </c>
      <c r="B20" s="39">
        <v>1290</v>
      </c>
      <c r="C20" s="39">
        <f t="shared" si="0"/>
        <v>1226</v>
      </c>
      <c r="D20" s="39">
        <f t="shared" si="1"/>
        <v>1200</v>
      </c>
      <c r="E20" s="39">
        <f t="shared" si="2"/>
        <v>1161</v>
      </c>
      <c r="F20" s="311" t="s">
        <v>132</v>
      </c>
    </row>
    <row r="21" spans="1:6" s="37" customFormat="1" x14ac:dyDescent="0.25">
      <c r="A21" s="38" t="s">
        <v>144</v>
      </c>
      <c r="B21" s="39">
        <v>1290</v>
      </c>
      <c r="C21" s="39">
        <f t="shared" si="0"/>
        <v>1226</v>
      </c>
      <c r="D21" s="39">
        <f t="shared" si="1"/>
        <v>1200</v>
      </c>
      <c r="E21" s="39">
        <f t="shared" si="2"/>
        <v>1161</v>
      </c>
      <c r="F21" s="311" t="s">
        <v>132</v>
      </c>
    </row>
    <row r="22" spans="1:6" s="37" customFormat="1" x14ac:dyDescent="0.25">
      <c r="A22" s="38" t="s">
        <v>145</v>
      </c>
      <c r="B22" s="39">
        <v>1290</v>
      </c>
      <c r="C22" s="39">
        <f t="shared" si="0"/>
        <v>1226</v>
      </c>
      <c r="D22" s="39">
        <f t="shared" si="1"/>
        <v>1200</v>
      </c>
      <c r="E22" s="39">
        <f t="shared" si="2"/>
        <v>1161</v>
      </c>
      <c r="F22" s="311" t="s">
        <v>132</v>
      </c>
    </row>
    <row r="23" spans="1:6" s="37" customFormat="1" x14ac:dyDescent="0.25">
      <c r="A23" s="38" t="s">
        <v>146</v>
      </c>
      <c r="B23" s="39">
        <v>1290</v>
      </c>
      <c r="C23" s="39">
        <f t="shared" si="0"/>
        <v>1226</v>
      </c>
      <c r="D23" s="39">
        <f t="shared" si="1"/>
        <v>1200</v>
      </c>
      <c r="E23" s="39">
        <f t="shared" si="2"/>
        <v>1161</v>
      </c>
      <c r="F23" s="311" t="s">
        <v>132</v>
      </c>
    </row>
    <row r="24" spans="1:6" s="37" customFormat="1" x14ac:dyDescent="0.25">
      <c r="A24" s="38" t="s">
        <v>147</v>
      </c>
      <c r="B24" s="39">
        <v>1290</v>
      </c>
      <c r="C24" s="39">
        <f t="shared" si="0"/>
        <v>1226</v>
      </c>
      <c r="D24" s="39">
        <f t="shared" si="1"/>
        <v>1200</v>
      </c>
      <c r="E24" s="39">
        <f t="shared" si="2"/>
        <v>1161</v>
      </c>
      <c r="F24" s="311" t="s">
        <v>132</v>
      </c>
    </row>
    <row r="25" spans="1:6" s="37" customFormat="1" x14ac:dyDescent="0.25">
      <c r="A25" s="38" t="s">
        <v>148</v>
      </c>
      <c r="B25" s="39">
        <v>1290</v>
      </c>
      <c r="C25" s="39">
        <f t="shared" si="0"/>
        <v>1226</v>
      </c>
      <c r="D25" s="39">
        <f t="shared" si="1"/>
        <v>1200</v>
      </c>
      <c r="E25" s="39">
        <f t="shared" si="2"/>
        <v>1161</v>
      </c>
      <c r="F25" s="311" t="s">
        <v>132</v>
      </c>
    </row>
    <row r="26" spans="1:6" s="37" customFormat="1" x14ac:dyDescent="0.25">
      <c r="A26" s="38" t="s">
        <v>149</v>
      </c>
      <c r="B26" s="39">
        <v>1290</v>
      </c>
      <c r="C26" s="39">
        <f t="shared" si="0"/>
        <v>1226</v>
      </c>
      <c r="D26" s="39">
        <f t="shared" si="1"/>
        <v>1200</v>
      </c>
      <c r="E26" s="39">
        <f t="shared" si="2"/>
        <v>1161</v>
      </c>
      <c r="F26" s="311" t="s">
        <v>132</v>
      </c>
    </row>
    <row r="27" spans="1:6" s="37" customFormat="1" x14ac:dyDescent="0.25">
      <c r="A27" s="38" t="s">
        <v>150</v>
      </c>
      <c r="B27" s="39">
        <v>1290</v>
      </c>
      <c r="C27" s="39">
        <f t="shared" si="0"/>
        <v>1226</v>
      </c>
      <c r="D27" s="39">
        <f t="shared" si="1"/>
        <v>1200</v>
      </c>
      <c r="E27" s="39">
        <f t="shared" si="2"/>
        <v>1161</v>
      </c>
      <c r="F27" s="311" t="s">
        <v>132</v>
      </c>
    </row>
    <row r="28" spans="1:6" s="37" customFormat="1" x14ac:dyDescent="0.25">
      <c r="A28" s="38" t="s">
        <v>151</v>
      </c>
      <c r="B28" s="39">
        <v>1290</v>
      </c>
      <c r="C28" s="39">
        <f t="shared" si="0"/>
        <v>1226</v>
      </c>
      <c r="D28" s="39">
        <f t="shared" si="1"/>
        <v>1200</v>
      </c>
      <c r="E28" s="39">
        <f t="shared" si="2"/>
        <v>1161</v>
      </c>
      <c r="F28" s="311" t="s">
        <v>132</v>
      </c>
    </row>
    <row r="29" spans="1:6" s="37" customFormat="1" x14ac:dyDescent="0.25">
      <c r="A29" s="38" t="s">
        <v>152</v>
      </c>
      <c r="B29" s="39">
        <v>1290</v>
      </c>
      <c r="C29" s="39">
        <f t="shared" si="0"/>
        <v>1226</v>
      </c>
      <c r="D29" s="39">
        <f t="shared" si="1"/>
        <v>1200</v>
      </c>
      <c r="E29" s="39">
        <f t="shared" si="2"/>
        <v>1161</v>
      </c>
      <c r="F29" s="311" t="s">
        <v>132</v>
      </c>
    </row>
    <row r="30" spans="1:6" s="37" customFormat="1" x14ac:dyDescent="0.25">
      <c r="A30" s="38" t="s">
        <v>153</v>
      </c>
      <c r="B30" s="39">
        <v>1250</v>
      </c>
      <c r="C30" s="39">
        <f>ROUNDUP(($B30/100)*95,0)</f>
        <v>1188</v>
      </c>
      <c r="D30" s="39">
        <f>ROUNDUP(($B30/100)*93,0)</f>
        <v>1163</v>
      </c>
      <c r="E30" s="39">
        <f>ROUNDUP(($B30/100)*90,0)</f>
        <v>1125</v>
      </c>
      <c r="F30" s="311" t="s">
        <v>132</v>
      </c>
    </row>
    <row r="31" spans="1:6" s="37" customFormat="1" x14ac:dyDescent="0.25">
      <c r="A31" s="38" t="s">
        <v>154</v>
      </c>
      <c r="B31" s="39">
        <v>1190</v>
      </c>
      <c r="C31" s="39">
        <f>ROUNDUP(($B31/100)*95,0)</f>
        <v>1131</v>
      </c>
      <c r="D31" s="39">
        <f>ROUNDUP(($B31/100)*93,0)</f>
        <v>1107</v>
      </c>
      <c r="E31" s="39">
        <f>ROUNDUP(($B31/100)*90,0)</f>
        <v>1071</v>
      </c>
      <c r="F31" s="311" t="s">
        <v>132</v>
      </c>
    </row>
    <row r="32" spans="1:6" s="37" customFormat="1" x14ac:dyDescent="0.25">
      <c r="A32" s="38" t="s">
        <v>155</v>
      </c>
      <c r="B32" s="39">
        <v>1120</v>
      </c>
      <c r="C32" s="39">
        <f>ROUNDUP(($B32/100)*95,0)</f>
        <v>1064</v>
      </c>
      <c r="D32" s="39">
        <f>ROUNDUP(($B32/100)*93,0)</f>
        <v>1042</v>
      </c>
      <c r="E32" s="39">
        <f>ROUNDUP(($B32/100)*90,0)</f>
        <v>1008</v>
      </c>
      <c r="F32" s="311" t="s">
        <v>132</v>
      </c>
    </row>
    <row r="33" spans="1:6" s="37" customFormat="1" x14ac:dyDescent="0.25">
      <c r="A33" s="38" t="s">
        <v>156</v>
      </c>
      <c r="B33" s="39">
        <v>1120</v>
      </c>
      <c r="C33" s="39">
        <f>ROUNDUP(($B33/100)*95,0)</f>
        <v>1064</v>
      </c>
      <c r="D33" s="39">
        <f>ROUNDUP(($B33/100)*93,0)</f>
        <v>1042</v>
      </c>
      <c r="E33" s="39">
        <f>ROUNDUP(($B33/100)*90,0)</f>
        <v>1008</v>
      </c>
      <c r="F33" s="311" t="s">
        <v>132</v>
      </c>
    </row>
    <row r="34" spans="1:6" s="37" customFormat="1" x14ac:dyDescent="0.25">
      <c r="A34" s="38" t="s">
        <v>157</v>
      </c>
      <c r="B34" s="39">
        <v>1120</v>
      </c>
      <c r="C34" s="39">
        <f>ROUNDUP(($B34/100)*95,0)</f>
        <v>1064</v>
      </c>
      <c r="D34" s="39">
        <f>ROUNDUP(($B34/100)*93,0)</f>
        <v>1042</v>
      </c>
      <c r="E34" s="39">
        <f>ROUNDUP(($B34/100)*90,0)</f>
        <v>1008</v>
      </c>
      <c r="F34" s="311" t="s">
        <v>132</v>
      </c>
    </row>
    <row r="35" spans="1:6" s="37" customFormat="1" x14ac:dyDescent="0.25">
      <c r="A35" s="38" t="s">
        <v>158</v>
      </c>
      <c r="B35" s="39">
        <v>1120</v>
      </c>
      <c r="C35" s="39">
        <f t="shared" si="0"/>
        <v>1064</v>
      </c>
      <c r="D35" s="39">
        <f t="shared" si="1"/>
        <v>1042</v>
      </c>
      <c r="E35" s="39">
        <f t="shared" si="2"/>
        <v>1008</v>
      </c>
      <c r="F35" s="311" t="s">
        <v>132</v>
      </c>
    </row>
    <row r="36" spans="1:6" s="37" customFormat="1" x14ac:dyDescent="0.25">
      <c r="A36" s="38" t="s">
        <v>159</v>
      </c>
      <c r="B36" s="39">
        <v>1120</v>
      </c>
      <c r="C36" s="39">
        <f t="shared" si="0"/>
        <v>1064</v>
      </c>
      <c r="D36" s="39">
        <f t="shared" si="1"/>
        <v>1042</v>
      </c>
      <c r="E36" s="39">
        <f t="shared" si="2"/>
        <v>1008</v>
      </c>
      <c r="F36" s="311" t="s">
        <v>132</v>
      </c>
    </row>
    <row r="37" spans="1:6" s="37" customFormat="1" x14ac:dyDescent="0.25">
      <c r="A37" s="38" t="s">
        <v>160</v>
      </c>
      <c r="B37" s="39">
        <v>1120</v>
      </c>
      <c r="C37" s="39">
        <f t="shared" si="0"/>
        <v>1064</v>
      </c>
      <c r="D37" s="39">
        <f t="shared" si="1"/>
        <v>1042</v>
      </c>
      <c r="E37" s="39">
        <f t="shared" si="2"/>
        <v>1008</v>
      </c>
      <c r="F37" s="311" t="s">
        <v>132</v>
      </c>
    </row>
    <row r="38" spans="1:6" s="37" customFormat="1" x14ac:dyDescent="0.25">
      <c r="A38" s="38" t="s">
        <v>161</v>
      </c>
      <c r="B38" s="39">
        <v>1020</v>
      </c>
      <c r="C38" s="39">
        <f t="shared" si="0"/>
        <v>969</v>
      </c>
      <c r="D38" s="39">
        <f t="shared" si="1"/>
        <v>949</v>
      </c>
      <c r="E38" s="39">
        <f t="shared" si="2"/>
        <v>918</v>
      </c>
      <c r="F38" s="311" t="s">
        <v>132</v>
      </c>
    </row>
    <row r="39" spans="1:6" s="37" customFormat="1" x14ac:dyDescent="0.25">
      <c r="A39" s="38" t="s">
        <v>162</v>
      </c>
      <c r="B39" s="39">
        <v>1020</v>
      </c>
      <c r="C39" s="39">
        <f t="shared" si="0"/>
        <v>969</v>
      </c>
      <c r="D39" s="39">
        <f t="shared" si="1"/>
        <v>949</v>
      </c>
      <c r="E39" s="39">
        <f t="shared" si="2"/>
        <v>918</v>
      </c>
      <c r="F39" s="311" t="s">
        <v>132</v>
      </c>
    </row>
    <row r="40" spans="1:6" s="37" customFormat="1" x14ac:dyDescent="0.25">
      <c r="A40" s="38" t="s">
        <v>163</v>
      </c>
      <c r="B40" s="39">
        <v>1020</v>
      </c>
      <c r="C40" s="39">
        <f t="shared" si="0"/>
        <v>969</v>
      </c>
      <c r="D40" s="39">
        <f t="shared" si="1"/>
        <v>949</v>
      </c>
      <c r="E40" s="39">
        <f t="shared" si="2"/>
        <v>918</v>
      </c>
      <c r="F40" s="311" t="s">
        <v>132</v>
      </c>
    </row>
    <row r="41" spans="1:6" s="37" customFormat="1" x14ac:dyDescent="0.25">
      <c r="A41" s="38" t="s">
        <v>164</v>
      </c>
      <c r="B41" s="39">
        <v>998</v>
      </c>
      <c r="C41" s="39">
        <f>ROUNDUP(($B41/100)*95,0)</f>
        <v>949</v>
      </c>
      <c r="D41" s="39">
        <f>ROUNDUP(($B41/100)*93,0)</f>
        <v>929</v>
      </c>
      <c r="E41" s="39">
        <f>ROUNDUP(($B41/100)*90,0)</f>
        <v>899</v>
      </c>
      <c r="F41" s="311" t="s">
        <v>132</v>
      </c>
    </row>
    <row r="42" spans="1:6" s="37" customFormat="1" x14ac:dyDescent="0.25">
      <c r="A42" s="38" t="s">
        <v>165</v>
      </c>
      <c r="B42" s="39">
        <v>920</v>
      </c>
      <c r="C42" s="39">
        <f t="shared" si="0"/>
        <v>874</v>
      </c>
      <c r="D42" s="39">
        <f t="shared" si="1"/>
        <v>856</v>
      </c>
      <c r="E42" s="39">
        <f t="shared" si="2"/>
        <v>828</v>
      </c>
      <c r="F42" s="311" t="s">
        <v>132</v>
      </c>
    </row>
    <row r="43" spans="1:6" s="37" customFormat="1" x14ac:dyDescent="0.25">
      <c r="A43" s="38" t="s">
        <v>166</v>
      </c>
      <c r="B43" s="39">
        <v>898</v>
      </c>
      <c r="C43" s="39">
        <f>ROUNDUP(($B43/100)*95,0)</f>
        <v>854</v>
      </c>
      <c r="D43" s="39">
        <f>ROUNDUP(($B43/100)*93,0)</f>
        <v>836</v>
      </c>
      <c r="E43" s="39">
        <f>ROUNDUP(($B43/100)*90,0)</f>
        <v>809</v>
      </c>
      <c r="F43" s="311" t="s">
        <v>132</v>
      </c>
    </row>
    <row r="44" spans="1:6" s="37" customFormat="1" x14ac:dyDescent="0.25">
      <c r="A44" s="38" t="s">
        <v>167</v>
      </c>
      <c r="B44" s="39">
        <v>920</v>
      </c>
      <c r="C44" s="39">
        <f t="shared" si="0"/>
        <v>874</v>
      </c>
      <c r="D44" s="39">
        <f t="shared" si="1"/>
        <v>856</v>
      </c>
      <c r="E44" s="39">
        <f t="shared" si="2"/>
        <v>828</v>
      </c>
      <c r="F44" s="311" t="s">
        <v>132</v>
      </c>
    </row>
    <row r="45" spans="1:6" s="37" customFormat="1" x14ac:dyDescent="0.25">
      <c r="A45" s="38" t="s">
        <v>168</v>
      </c>
      <c r="B45" s="39">
        <v>920</v>
      </c>
      <c r="C45" s="39">
        <f>ROUNDUP(($B45/100)*95,0)</f>
        <v>874</v>
      </c>
      <c r="D45" s="39">
        <f>ROUNDUP(($B45/100)*93,0)</f>
        <v>856</v>
      </c>
      <c r="E45" s="39">
        <f>ROUNDUP(($B45/100)*90,0)</f>
        <v>828</v>
      </c>
      <c r="F45" s="311" t="s">
        <v>132</v>
      </c>
    </row>
    <row r="46" spans="1:6" s="37" customFormat="1" x14ac:dyDescent="0.25">
      <c r="A46" s="38" t="s">
        <v>169</v>
      </c>
      <c r="B46" s="39">
        <v>898</v>
      </c>
      <c r="C46" s="39">
        <f t="shared" si="0"/>
        <v>854</v>
      </c>
      <c r="D46" s="39">
        <f t="shared" si="1"/>
        <v>836</v>
      </c>
      <c r="E46" s="39">
        <f t="shared" si="2"/>
        <v>809</v>
      </c>
      <c r="F46" s="311" t="s">
        <v>132</v>
      </c>
    </row>
    <row r="47" spans="1:6" s="37" customFormat="1" x14ac:dyDescent="0.25">
      <c r="A47" s="38" t="s">
        <v>170</v>
      </c>
      <c r="B47" s="39">
        <v>898</v>
      </c>
      <c r="C47" s="39">
        <f t="shared" si="0"/>
        <v>854</v>
      </c>
      <c r="D47" s="39">
        <f t="shared" si="1"/>
        <v>836</v>
      </c>
      <c r="E47" s="39">
        <f t="shared" si="2"/>
        <v>809</v>
      </c>
      <c r="F47" s="311" t="s">
        <v>132</v>
      </c>
    </row>
    <row r="48" spans="1:6" s="37" customFormat="1" x14ac:dyDescent="0.25">
      <c r="A48" s="38" t="s">
        <v>171</v>
      </c>
      <c r="B48" s="39">
        <v>898</v>
      </c>
      <c r="C48" s="39">
        <f t="shared" si="0"/>
        <v>854</v>
      </c>
      <c r="D48" s="39">
        <f t="shared" si="1"/>
        <v>836</v>
      </c>
      <c r="E48" s="39">
        <f t="shared" si="2"/>
        <v>809</v>
      </c>
      <c r="F48" s="311" t="s">
        <v>132</v>
      </c>
    </row>
    <row r="49" spans="1:6" s="37" customFormat="1" x14ac:dyDescent="0.25">
      <c r="A49" s="38" t="s">
        <v>172</v>
      </c>
      <c r="B49" s="39">
        <v>898</v>
      </c>
      <c r="C49" s="39">
        <f t="shared" si="0"/>
        <v>854</v>
      </c>
      <c r="D49" s="39">
        <f t="shared" si="1"/>
        <v>836</v>
      </c>
      <c r="E49" s="39">
        <f t="shared" si="2"/>
        <v>809</v>
      </c>
      <c r="F49" s="311" t="s">
        <v>132</v>
      </c>
    </row>
    <row r="50" spans="1:6" s="40" customFormat="1" x14ac:dyDescent="0.25">
      <c r="A50" s="38" t="s">
        <v>173</v>
      </c>
      <c r="B50" s="39">
        <v>898</v>
      </c>
      <c r="C50" s="39">
        <f t="shared" si="0"/>
        <v>854</v>
      </c>
      <c r="D50" s="39">
        <f t="shared" si="1"/>
        <v>836</v>
      </c>
      <c r="E50" s="39">
        <f t="shared" si="2"/>
        <v>809</v>
      </c>
      <c r="F50" s="311" t="s">
        <v>132</v>
      </c>
    </row>
    <row r="51" spans="1:6" s="40" customFormat="1" x14ac:dyDescent="0.25">
      <c r="A51" s="38" t="s">
        <v>174</v>
      </c>
      <c r="B51" s="39">
        <v>898</v>
      </c>
      <c r="C51" s="39">
        <f t="shared" si="0"/>
        <v>854</v>
      </c>
      <c r="D51" s="39">
        <f t="shared" si="1"/>
        <v>836</v>
      </c>
      <c r="E51" s="39">
        <f t="shared" si="2"/>
        <v>809</v>
      </c>
      <c r="F51" s="311" t="s">
        <v>132</v>
      </c>
    </row>
    <row r="52" spans="1:6" s="37" customFormat="1" x14ac:dyDescent="0.25">
      <c r="A52" s="38" t="s">
        <v>175</v>
      </c>
      <c r="B52" s="39">
        <v>890</v>
      </c>
      <c r="C52" s="39">
        <f t="shared" si="0"/>
        <v>846</v>
      </c>
      <c r="D52" s="39">
        <f t="shared" si="1"/>
        <v>828</v>
      </c>
      <c r="E52" s="39">
        <f t="shared" si="2"/>
        <v>801</v>
      </c>
      <c r="F52" s="311" t="s">
        <v>132</v>
      </c>
    </row>
    <row r="53" spans="1:6" s="37" customFormat="1" x14ac:dyDescent="0.25">
      <c r="A53" s="38" t="s">
        <v>176</v>
      </c>
      <c r="B53" s="39">
        <v>890</v>
      </c>
      <c r="C53" s="39">
        <f t="shared" si="0"/>
        <v>846</v>
      </c>
      <c r="D53" s="39">
        <f t="shared" si="1"/>
        <v>828</v>
      </c>
      <c r="E53" s="39">
        <f t="shared" si="2"/>
        <v>801</v>
      </c>
      <c r="F53" s="311" t="s">
        <v>132</v>
      </c>
    </row>
    <row r="54" spans="1:6" s="37" customFormat="1" x14ac:dyDescent="0.25">
      <c r="A54" s="38" t="s">
        <v>177</v>
      </c>
      <c r="B54" s="39">
        <v>890</v>
      </c>
      <c r="C54" s="39">
        <f t="shared" si="0"/>
        <v>846</v>
      </c>
      <c r="D54" s="39">
        <f t="shared" si="1"/>
        <v>828</v>
      </c>
      <c r="E54" s="39">
        <f t="shared" si="2"/>
        <v>801</v>
      </c>
      <c r="F54" s="311" t="s">
        <v>132</v>
      </c>
    </row>
    <row r="55" spans="1:6" s="37" customFormat="1" x14ac:dyDescent="0.25">
      <c r="A55" s="38" t="s">
        <v>178</v>
      </c>
      <c r="B55" s="39">
        <v>850</v>
      </c>
      <c r="C55" s="39">
        <f t="shared" si="0"/>
        <v>808</v>
      </c>
      <c r="D55" s="39">
        <f t="shared" si="1"/>
        <v>791</v>
      </c>
      <c r="E55" s="39">
        <f t="shared" si="2"/>
        <v>765</v>
      </c>
      <c r="F55" s="311" t="s">
        <v>132</v>
      </c>
    </row>
    <row r="56" spans="1:6" s="37" customFormat="1" x14ac:dyDescent="0.25">
      <c r="A56" s="38" t="s">
        <v>179</v>
      </c>
      <c r="B56" s="39">
        <v>798</v>
      </c>
      <c r="C56" s="39">
        <f t="shared" si="0"/>
        <v>759</v>
      </c>
      <c r="D56" s="39">
        <f t="shared" si="1"/>
        <v>743</v>
      </c>
      <c r="E56" s="39">
        <f t="shared" si="2"/>
        <v>719</v>
      </c>
      <c r="F56" s="311" t="s">
        <v>132</v>
      </c>
    </row>
    <row r="57" spans="1:6" s="37" customFormat="1" x14ac:dyDescent="0.25">
      <c r="A57" s="38" t="s">
        <v>180</v>
      </c>
      <c r="B57" s="39">
        <v>798</v>
      </c>
      <c r="C57" s="39">
        <f>ROUNDUP(($B57/100)*95,0)</f>
        <v>759</v>
      </c>
      <c r="D57" s="39">
        <f>ROUNDUP(($B57/100)*93,0)</f>
        <v>743</v>
      </c>
      <c r="E57" s="39">
        <f>ROUNDUP(($B57/100)*90,0)</f>
        <v>719</v>
      </c>
      <c r="F57" s="311" t="s">
        <v>132</v>
      </c>
    </row>
    <row r="58" spans="1:6" s="37" customFormat="1" x14ac:dyDescent="0.25">
      <c r="A58" s="41" t="s">
        <v>181</v>
      </c>
      <c r="B58" s="39"/>
      <c r="C58" s="39"/>
      <c r="D58" s="39"/>
      <c r="E58" s="39"/>
      <c r="F58" s="311"/>
    </row>
    <row r="59" spans="1:6" s="37" customFormat="1" x14ac:dyDescent="0.25">
      <c r="A59" s="38" t="s">
        <v>139</v>
      </c>
      <c r="B59" s="39">
        <v>830</v>
      </c>
      <c r="C59" s="39">
        <f t="shared" ref="C59:C64" si="3">ROUNDUP(($B59/100)*95,0)</f>
        <v>789</v>
      </c>
      <c r="D59" s="39">
        <f t="shared" ref="D59:D64" si="4">ROUNDUP(($B59/100)*93,0)</f>
        <v>772</v>
      </c>
      <c r="E59" s="39">
        <f t="shared" ref="E59:E64" si="5">ROUNDUP(($B59/100)*90,0)</f>
        <v>747</v>
      </c>
      <c r="F59" s="311" t="s">
        <v>132</v>
      </c>
    </row>
    <row r="60" spans="1:6" s="37" customFormat="1" x14ac:dyDescent="0.25">
      <c r="A60" s="38" t="s">
        <v>138</v>
      </c>
      <c r="B60" s="39">
        <v>850</v>
      </c>
      <c r="C60" s="39">
        <f t="shared" si="3"/>
        <v>808</v>
      </c>
      <c r="D60" s="39">
        <f t="shared" si="4"/>
        <v>791</v>
      </c>
      <c r="E60" s="39">
        <f t="shared" si="5"/>
        <v>765</v>
      </c>
      <c r="F60" s="311" t="s">
        <v>132</v>
      </c>
    </row>
    <row r="61" spans="1:6" s="37" customFormat="1" x14ac:dyDescent="0.25">
      <c r="A61" s="38" t="s">
        <v>180</v>
      </c>
      <c r="B61" s="39">
        <v>450</v>
      </c>
      <c r="C61" s="39">
        <f t="shared" si="3"/>
        <v>428</v>
      </c>
      <c r="D61" s="39">
        <f t="shared" si="4"/>
        <v>419</v>
      </c>
      <c r="E61" s="39">
        <f t="shared" si="5"/>
        <v>405</v>
      </c>
      <c r="F61" s="311" t="s">
        <v>132</v>
      </c>
    </row>
    <row r="62" spans="1:6" s="37" customFormat="1" x14ac:dyDescent="0.25">
      <c r="A62" s="38" t="s">
        <v>182</v>
      </c>
      <c r="B62" s="39">
        <v>480</v>
      </c>
      <c r="C62" s="39">
        <f t="shared" si="3"/>
        <v>456</v>
      </c>
      <c r="D62" s="39">
        <f t="shared" si="4"/>
        <v>447</v>
      </c>
      <c r="E62" s="39">
        <f t="shared" si="5"/>
        <v>432</v>
      </c>
      <c r="F62" s="311" t="s">
        <v>132</v>
      </c>
    </row>
    <row r="63" spans="1:6" s="37" customFormat="1" x14ac:dyDescent="0.25">
      <c r="A63" s="38" t="s">
        <v>176</v>
      </c>
      <c r="B63" s="39">
        <v>550</v>
      </c>
      <c r="C63" s="39">
        <f t="shared" si="3"/>
        <v>523</v>
      </c>
      <c r="D63" s="39">
        <f t="shared" si="4"/>
        <v>512</v>
      </c>
      <c r="E63" s="39">
        <f t="shared" si="5"/>
        <v>495</v>
      </c>
      <c r="F63" s="311" t="s">
        <v>132</v>
      </c>
    </row>
    <row r="64" spans="1:6" s="37" customFormat="1" x14ac:dyDescent="0.25">
      <c r="A64" s="38" t="s">
        <v>177</v>
      </c>
      <c r="B64" s="39">
        <v>550</v>
      </c>
      <c r="C64" s="39">
        <f t="shared" si="3"/>
        <v>523</v>
      </c>
      <c r="D64" s="39">
        <f t="shared" si="4"/>
        <v>512</v>
      </c>
      <c r="E64" s="39">
        <f t="shared" si="5"/>
        <v>495</v>
      </c>
      <c r="F64" s="311" t="s">
        <v>132</v>
      </c>
    </row>
    <row r="65" spans="1:6" s="37" customFormat="1" x14ac:dyDescent="0.25">
      <c r="A65" s="41" t="s">
        <v>183</v>
      </c>
      <c r="B65" s="39"/>
      <c r="C65" s="39"/>
      <c r="D65" s="39"/>
      <c r="E65" s="39"/>
      <c r="F65" s="311"/>
    </row>
    <row r="66" spans="1:6" s="37" customFormat="1" x14ac:dyDescent="0.25">
      <c r="A66" s="38" t="s">
        <v>184</v>
      </c>
      <c r="B66" s="39">
        <v>330</v>
      </c>
      <c r="C66" s="39">
        <f>ROUNDUP(($B66/100)*95,0)</f>
        <v>314</v>
      </c>
      <c r="D66" s="39">
        <f>ROUNDUP(($B66/100)*93,0)</f>
        <v>307</v>
      </c>
      <c r="E66" s="39">
        <f>ROUNDUP(($B66/100)*90,0)</f>
        <v>297</v>
      </c>
      <c r="F66" s="311" t="s">
        <v>132</v>
      </c>
    </row>
    <row r="67" spans="1:6" s="37" customFormat="1" ht="24" x14ac:dyDescent="0.25">
      <c r="A67" s="38" t="s">
        <v>185</v>
      </c>
      <c r="B67" s="39">
        <v>290</v>
      </c>
      <c r="C67" s="39">
        <f t="shared" ref="C67:C89" si="6">ROUNDUP(($B67/100)*95,0)</f>
        <v>276</v>
      </c>
      <c r="D67" s="39">
        <f t="shared" ref="D67:D89" si="7">ROUNDUP(($B67/100)*93,0)</f>
        <v>270</v>
      </c>
      <c r="E67" s="39">
        <f t="shared" ref="E67:E89" si="8">ROUNDUP(($B67/100)*90,0)</f>
        <v>261</v>
      </c>
      <c r="F67" s="311" t="s">
        <v>132</v>
      </c>
    </row>
    <row r="68" spans="1:6" s="37" customFormat="1" ht="24" x14ac:dyDescent="0.25">
      <c r="A68" s="38" t="s">
        <v>186</v>
      </c>
      <c r="B68" s="39">
        <v>390</v>
      </c>
      <c r="C68" s="39">
        <f t="shared" si="6"/>
        <v>371</v>
      </c>
      <c r="D68" s="39">
        <f t="shared" si="7"/>
        <v>363</v>
      </c>
      <c r="E68" s="39">
        <f t="shared" si="8"/>
        <v>351</v>
      </c>
      <c r="F68" s="311" t="s">
        <v>132</v>
      </c>
    </row>
    <row r="69" spans="1:6" s="37" customFormat="1" ht="24" x14ac:dyDescent="0.25">
      <c r="A69" s="38" t="s">
        <v>187</v>
      </c>
      <c r="B69" s="39">
        <v>410</v>
      </c>
      <c r="C69" s="39">
        <f t="shared" si="6"/>
        <v>390</v>
      </c>
      <c r="D69" s="39">
        <f t="shared" si="7"/>
        <v>382</v>
      </c>
      <c r="E69" s="39">
        <f t="shared" si="8"/>
        <v>369</v>
      </c>
      <c r="F69" s="311" t="s">
        <v>132</v>
      </c>
    </row>
    <row r="70" spans="1:6" s="37" customFormat="1" ht="24" x14ac:dyDescent="0.25">
      <c r="A70" s="38" t="s">
        <v>188</v>
      </c>
      <c r="B70" s="39">
        <v>550</v>
      </c>
      <c r="C70" s="39">
        <f t="shared" si="6"/>
        <v>523</v>
      </c>
      <c r="D70" s="39">
        <f t="shared" si="7"/>
        <v>512</v>
      </c>
      <c r="E70" s="39">
        <f t="shared" si="8"/>
        <v>495</v>
      </c>
      <c r="F70" s="311" t="s">
        <v>132</v>
      </c>
    </row>
    <row r="71" spans="1:6" s="37" customFormat="1" ht="24" x14ac:dyDescent="0.25">
      <c r="A71" s="38" t="s">
        <v>189</v>
      </c>
      <c r="B71" s="39">
        <v>550</v>
      </c>
      <c r="C71" s="39">
        <f t="shared" si="6"/>
        <v>523</v>
      </c>
      <c r="D71" s="39">
        <f t="shared" si="7"/>
        <v>512</v>
      </c>
      <c r="E71" s="39">
        <f t="shared" si="8"/>
        <v>495</v>
      </c>
      <c r="F71" s="311" t="s">
        <v>132</v>
      </c>
    </row>
    <row r="72" spans="1:6" s="37" customFormat="1" ht="24" x14ac:dyDescent="0.25">
      <c r="A72" s="38" t="s">
        <v>190</v>
      </c>
      <c r="B72" s="39">
        <v>590</v>
      </c>
      <c r="C72" s="39">
        <f t="shared" si="6"/>
        <v>561</v>
      </c>
      <c r="D72" s="39">
        <f t="shared" si="7"/>
        <v>549</v>
      </c>
      <c r="E72" s="39">
        <f t="shared" si="8"/>
        <v>531</v>
      </c>
      <c r="F72" s="311" t="s">
        <v>132</v>
      </c>
    </row>
    <row r="73" spans="1:6" s="37" customFormat="1" ht="24" x14ac:dyDescent="0.25">
      <c r="A73" s="38" t="s">
        <v>191</v>
      </c>
      <c r="B73" s="39">
        <v>390</v>
      </c>
      <c r="C73" s="39">
        <f t="shared" si="6"/>
        <v>371</v>
      </c>
      <c r="D73" s="39">
        <f t="shared" si="7"/>
        <v>363</v>
      </c>
      <c r="E73" s="39">
        <f t="shared" si="8"/>
        <v>351</v>
      </c>
      <c r="F73" s="311" t="s">
        <v>132</v>
      </c>
    </row>
    <row r="74" spans="1:6" s="37" customFormat="1" ht="24" x14ac:dyDescent="0.25">
      <c r="A74" s="38" t="s">
        <v>192</v>
      </c>
      <c r="B74" s="39">
        <v>390</v>
      </c>
      <c r="C74" s="39">
        <f t="shared" si="6"/>
        <v>371</v>
      </c>
      <c r="D74" s="39">
        <f t="shared" si="7"/>
        <v>363</v>
      </c>
      <c r="E74" s="39">
        <f t="shared" si="8"/>
        <v>351</v>
      </c>
      <c r="F74" s="311" t="s">
        <v>132</v>
      </c>
    </row>
    <row r="75" spans="1:6" s="37" customFormat="1" ht="24" x14ac:dyDescent="0.25">
      <c r="A75" s="38" t="s">
        <v>193</v>
      </c>
      <c r="B75" s="39">
        <v>330</v>
      </c>
      <c r="C75" s="39">
        <f t="shared" si="6"/>
        <v>314</v>
      </c>
      <c r="D75" s="39">
        <f t="shared" si="7"/>
        <v>307</v>
      </c>
      <c r="E75" s="39">
        <f t="shared" si="8"/>
        <v>297</v>
      </c>
      <c r="F75" s="311" t="s">
        <v>132</v>
      </c>
    </row>
    <row r="76" spans="1:6" s="37" customFormat="1" ht="24" x14ac:dyDescent="0.25">
      <c r="A76" s="38" t="s">
        <v>194</v>
      </c>
      <c r="B76" s="39">
        <v>490</v>
      </c>
      <c r="C76" s="39">
        <f t="shared" si="6"/>
        <v>466</v>
      </c>
      <c r="D76" s="39">
        <f t="shared" si="7"/>
        <v>456</v>
      </c>
      <c r="E76" s="39">
        <f t="shared" si="8"/>
        <v>441</v>
      </c>
      <c r="F76" s="311" t="s">
        <v>132</v>
      </c>
    </row>
    <row r="77" spans="1:6" s="37" customFormat="1" ht="24" x14ac:dyDescent="0.25">
      <c r="A77" s="38" t="s">
        <v>195</v>
      </c>
      <c r="B77" s="39">
        <v>330</v>
      </c>
      <c r="C77" s="39">
        <f t="shared" si="6"/>
        <v>314</v>
      </c>
      <c r="D77" s="39">
        <f t="shared" si="7"/>
        <v>307</v>
      </c>
      <c r="E77" s="39">
        <f t="shared" si="8"/>
        <v>297</v>
      </c>
      <c r="F77" s="311" t="s">
        <v>132</v>
      </c>
    </row>
    <row r="78" spans="1:6" s="37" customFormat="1" ht="24" x14ac:dyDescent="0.25">
      <c r="A78" s="38" t="s">
        <v>196</v>
      </c>
      <c r="B78" s="39">
        <v>530</v>
      </c>
      <c r="C78" s="39">
        <f t="shared" si="6"/>
        <v>504</v>
      </c>
      <c r="D78" s="39">
        <f t="shared" si="7"/>
        <v>493</v>
      </c>
      <c r="E78" s="39">
        <f t="shared" si="8"/>
        <v>477</v>
      </c>
      <c r="F78" s="311" t="s">
        <v>132</v>
      </c>
    </row>
    <row r="79" spans="1:6" s="37" customFormat="1" ht="24" x14ac:dyDescent="0.25">
      <c r="A79" s="38" t="s">
        <v>197</v>
      </c>
      <c r="B79" s="39">
        <v>590</v>
      </c>
      <c r="C79" s="39">
        <f t="shared" si="6"/>
        <v>561</v>
      </c>
      <c r="D79" s="39">
        <f t="shared" si="7"/>
        <v>549</v>
      </c>
      <c r="E79" s="39">
        <f t="shared" si="8"/>
        <v>531</v>
      </c>
      <c r="F79" s="311" t="s">
        <v>132</v>
      </c>
    </row>
    <row r="80" spans="1:6" s="37" customFormat="1" x14ac:dyDescent="0.25">
      <c r="A80" s="41" t="s">
        <v>198</v>
      </c>
      <c r="B80" s="39"/>
      <c r="C80" s="39"/>
      <c r="D80" s="39"/>
      <c r="E80" s="39"/>
      <c r="F80" s="311"/>
    </row>
    <row r="81" spans="1:6" s="37" customFormat="1" x14ac:dyDescent="0.25">
      <c r="A81" s="38" t="s">
        <v>199</v>
      </c>
      <c r="B81" s="39">
        <v>330</v>
      </c>
      <c r="C81" s="39">
        <f t="shared" si="6"/>
        <v>314</v>
      </c>
      <c r="D81" s="39">
        <f t="shared" si="7"/>
        <v>307</v>
      </c>
      <c r="E81" s="39">
        <f t="shared" si="8"/>
        <v>297</v>
      </c>
      <c r="F81" s="311" t="s">
        <v>132</v>
      </c>
    </row>
    <row r="82" spans="1:6" s="37" customFormat="1" x14ac:dyDescent="0.25">
      <c r="A82" s="38" t="s">
        <v>200</v>
      </c>
      <c r="B82" s="39">
        <v>330</v>
      </c>
      <c r="C82" s="39">
        <f t="shared" si="6"/>
        <v>314</v>
      </c>
      <c r="D82" s="39">
        <f t="shared" si="7"/>
        <v>307</v>
      </c>
      <c r="E82" s="39">
        <f t="shared" si="8"/>
        <v>297</v>
      </c>
      <c r="F82" s="311" t="s">
        <v>132</v>
      </c>
    </row>
    <row r="83" spans="1:6" s="37" customFormat="1" x14ac:dyDescent="0.25">
      <c r="A83" s="38" t="s">
        <v>201</v>
      </c>
      <c r="B83" s="39">
        <v>430</v>
      </c>
      <c r="C83" s="39">
        <f t="shared" si="6"/>
        <v>409</v>
      </c>
      <c r="D83" s="39">
        <f t="shared" si="7"/>
        <v>400</v>
      </c>
      <c r="E83" s="39">
        <f t="shared" si="8"/>
        <v>387</v>
      </c>
      <c r="F83" s="311" t="s">
        <v>132</v>
      </c>
    </row>
    <row r="84" spans="1:6" s="37" customFormat="1" x14ac:dyDescent="0.25">
      <c r="A84" s="38" t="s">
        <v>202</v>
      </c>
      <c r="B84" s="39">
        <v>430</v>
      </c>
      <c r="C84" s="39">
        <f t="shared" si="6"/>
        <v>409</v>
      </c>
      <c r="D84" s="39">
        <f t="shared" si="7"/>
        <v>400</v>
      </c>
      <c r="E84" s="39">
        <f t="shared" si="8"/>
        <v>387</v>
      </c>
      <c r="F84" s="311" t="s">
        <v>132</v>
      </c>
    </row>
    <row r="85" spans="1:6" s="37" customFormat="1" x14ac:dyDescent="0.25">
      <c r="A85" s="38" t="s">
        <v>203</v>
      </c>
      <c r="B85" s="39">
        <v>330</v>
      </c>
      <c r="C85" s="39">
        <f t="shared" si="6"/>
        <v>314</v>
      </c>
      <c r="D85" s="39">
        <f t="shared" si="7"/>
        <v>307</v>
      </c>
      <c r="E85" s="39">
        <f t="shared" si="8"/>
        <v>297</v>
      </c>
      <c r="F85" s="311" t="s">
        <v>132</v>
      </c>
    </row>
    <row r="86" spans="1:6" s="37" customFormat="1" x14ac:dyDescent="0.25">
      <c r="A86" s="38" t="s">
        <v>204</v>
      </c>
      <c r="B86" s="39">
        <v>1320</v>
      </c>
      <c r="C86" s="39">
        <f t="shared" si="6"/>
        <v>1254</v>
      </c>
      <c r="D86" s="39">
        <f t="shared" si="7"/>
        <v>1228</v>
      </c>
      <c r="E86" s="39">
        <f t="shared" si="8"/>
        <v>1188</v>
      </c>
      <c r="F86" s="311" t="s">
        <v>132</v>
      </c>
    </row>
    <row r="87" spans="1:6" s="37" customFormat="1" x14ac:dyDescent="0.25">
      <c r="A87" s="38" t="s">
        <v>205</v>
      </c>
      <c r="B87" s="39">
        <v>310</v>
      </c>
      <c r="C87" s="39">
        <f t="shared" si="6"/>
        <v>295</v>
      </c>
      <c r="D87" s="39">
        <f t="shared" si="7"/>
        <v>289</v>
      </c>
      <c r="E87" s="39">
        <f t="shared" si="8"/>
        <v>279</v>
      </c>
      <c r="F87" s="311" t="s">
        <v>132</v>
      </c>
    </row>
    <row r="88" spans="1:6" s="37" customFormat="1" x14ac:dyDescent="0.25">
      <c r="A88" s="38" t="s">
        <v>206</v>
      </c>
      <c r="B88" s="39">
        <v>450</v>
      </c>
      <c r="C88" s="39">
        <f t="shared" si="6"/>
        <v>428</v>
      </c>
      <c r="D88" s="39">
        <f t="shared" si="7"/>
        <v>419</v>
      </c>
      <c r="E88" s="39">
        <f t="shared" si="8"/>
        <v>405</v>
      </c>
      <c r="F88" s="311" t="s">
        <v>132</v>
      </c>
    </row>
    <row r="89" spans="1:6" s="37" customFormat="1" x14ac:dyDescent="0.25">
      <c r="A89" s="38" t="s">
        <v>207</v>
      </c>
      <c r="B89" s="39">
        <v>390</v>
      </c>
      <c r="C89" s="39">
        <f t="shared" si="6"/>
        <v>371</v>
      </c>
      <c r="D89" s="39">
        <f t="shared" si="7"/>
        <v>363</v>
      </c>
      <c r="E89" s="39">
        <f t="shared" si="8"/>
        <v>351</v>
      </c>
      <c r="F89" s="311" t="s">
        <v>132</v>
      </c>
    </row>
    <row r="90" spans="1:6" s="37" customFormat="1" x14ac:dyDescent="0.25">
      <c r="A90" s="41" t="s">
        <v>208</v>
      </c>
      <c r="B90" s="39"/>
      <c r="C90" s="39"/>
      <c r="D90" s="39"/>
      <c r="E90" s="39"/>
      <c r="F90" s="311"/>
    </row>
    <row r="91" spans="1:6" s="37" customFormat="1" x14ac:dyDescent="0.25">
      <c r="A91" s="38" t="s">
        <v>209</v>
      </c>
      <c r="B91" s="39">
        <v>390</v>
      </c>
      <c r="C91" s="39">
        <f t="shared" ref="C91:C96" si="9">ROUNDUP(($B91/100)*95,0)</f>
        <v>371</v>
      </c>
      <c r="D91" s="39">
        <f t="shared" ref="D91:D96" si="10">ROUNDUP(($B91/100)*93,0)</f>
        <v>363</v>
      </c>
      <c r="E91" s="39">
        <f t="shared" ref="E91:E96" si="11">ROUNDUP(($B91/100)*90,0)</f>
        <v>351</v>
      </c>
      <c r="F91" s="311">
        <f t="shared" ref="F91:F96" si="12">ROUNDUP(($B91/100)*85,0)</f>
        <v>332</v>
      </c>
    </row>
    <row r="92" spans="1:6" s="37" customFormat="1" ht="25.5" x14ac:dyDescent="0.25">
      <c r="A92" s="42" t="s">
        <v>210</v>
      </c>
      <c r="B92" s="39">
        <v>192</v>
      </c>
      <c r="C92" s="43">
        <f t="shared" si="9"/>
        <v>183</v>
      </c>
      <c r="D92" s="43">
        <f t="shared" si="10"/>
        <v>179</v>
      </c>
      <c r="E92" s="43">
        <f t="shared" si="11"/>
        <v>173</v>
      </c>
      <c r="F92" s="312">
        <f t="shared" si="12"/>
        <v>164</v>
      </c>
    </row>
    <row r="93" spans="1:6" s="37" customFormat="1" ht="24" x14ac:dyDescent="0.25">
      <c r="A93" s="38" t="s">
        <v>211</v>
      </c>
      <c r="B93" s="39">
        <v>970</v>
      </c>
      <c r="C93" s="39">
        <f t="shared" si="9"/>
        <v>922</v>
      </c>
      <c r="D93" s="39">
        <f t="shared" si="10"/>
        <v>903</v>
      </c>
      <c r="E93" s="39">
        <f t="shared" si="11"/>
        <v>873</v>
      </c>
      <c r="F93" s="311">
        <f t="shared" si="12"/>
        <v>825</v>
      </c>
    </row>
    <row r="94" spans="1:6" s="37" customFormat="1" ht="25.5" x14ac:dyDescent="0.25">
      <c r="A94" s="42" t="s">
        <v>212</v>
      </c>
      <c r="B94" s="43">
        <v>970</v>
      </c>
      <c r="C94" s="43">
        <f t="shared" si="9"/>
        <v>922</v>
      </c>
      <c r="D94" s="43">
        <f t="shared" si="10"/>
        <v>903</v>
      </c>
      <c r="E94" s="43">
        <f t="shared" si="11"/>
        <v>873</v>
      </c>
      <c r="F94" s="312">
        <f t="shared" si="12"/>
        <v>825</v>
      </c>
    </row>
    <row r="95" spans="1:6" s="37" customFormat="1" ht="25.5" x14ac:dyDescent="0.25">
      <c r="A95" s="42" t="s">
        <v>213</v>
      </c>
      <c r="B95" s="43">
        <v>293</v>
      </c>
      <c r="C95" s="43">
        <f t="shared" si="9"/>
        <v>279</v>
      </c>
      <c r="D95" s="43">
        <f t="shared" si="10"/>
        <v>273</v>
      </c>
      <c r="E95" s="43">
        <f t="shared" si="11"/>
        <v>264</v>
      </c>
      <c r="F95" s="312">
        <f t="shared" si="12"/>
        <v>250</v>
      </c>
    </row>
    <row r="96" spans="1:6" s="37" customFormat="1" ht="25.5" x14ac:dyDescent="0.25">
      <c r="A96" s="42" t="s">
        <v>214</v>
      </c>
      <c r="B96" s="43">
        <v>590</v>
      </c>
      <c r="C96" s="43">
        <f t="shared" si="9"/>
        <v>561</v>
      </c>
      <c r="D96" s="43">
        <f t="shared" si="10"/>
        <v>549</v>
      </c>
      <c r="E96" s="43">
        <f t="shared" si="11"/>
        <v>531</v>
      </c>
      <c r="F96" s="312">
        <f t="shared" si="12"/>
        <v>502</v>
      </c>
    </row>
    <row r="97" spans="1:6" s="37" customFormat="1" ht="25.5" x14ac:dyDescent="0.25">
      <c r="A97" s="42" t="s">
        <v>215</v>
      </c>
      <c r="B97" s="43">
        <v>990</v>
      </c>
      <c r="C97" s="43">
        <v>990</v>
      </c>
      <c r="D97" s="43">
        <v>990</v>
      </c>
      <c r="E97" s="43">
        <v>990</v>
      </c>
      <c r="F97" s="312">
        <v>990</v>
      </c>
    </row>
    <row r="98" spans="1:6" s="37" customFormat="1" ht="25.5" x14ac:dyDescent="0.25">
      <c r="A98" s="42" t="s">
        <v>216</v>
      </c>
      <c r="B98" s="43">
        <v>2100</v>
      </c>
      <c r="C98" s="43">
        <f>ROUNDUP(($B98/100)*95,0)</f>
        <v>1995</v>
      </c>
      <c r="D98" s="43">
        <f t="shared" ref="D98:F99" si="13">ROUNDUP(($B98/100)*95,0)</f>
        <v>1995</v>
      </c>
      <c r="E98" s="43">
        <f t="shared" si="13"/>
        <v>1995</v>
      </c>
      <c r="F98" s="312">
        <f t="shared" si="13"/>
        <v>1995</v>
      </c>
    </row>
    <row r="99" spans="1:6" s="37" customFormat="1" ht="25.5" x14ac:dyDescent="0.25">
      <c r="A99" s="44" t="s">
        <v>217</v>
      </c>
      <c r="B99" s="43">
        <v>1900</v>
      </c>
      <c r="C99" s="43">
        <f>ROUNDUP(($B99/100)*95,0)</f>
        <v>1805</v>
      </c>
      <c r="D99" s="43">
        <f t="shared" si="13"/>
        <v>1805</v>
      </c>
      <c r="E99" s="43">
        <f t="shared" si="13"/>
        <v>1805</v>
      </c>
      <c r="F99" s="312">
        <f t="shared" si="13"/>
        <v>1805</v>
      </c>
    </row>
    <row r="100" spans="1:6" s="37" customFormat="1" x14ac:dyDescent="0.25">
      <c r="A100" s="38" t="s">
        <v>218</v>
      </c>
      <c r="B100" s="39">
        <v>350</v>
      </c>
      <c r="C100" s="39">
        <v>350</v>
      </c>
      <c r="D100" s="39">
        <v>350</v>
      </c>
      <c r="E100" s="39">
        <v>350</v>
      </c>
      <c r="F100" s="311">
        <v>350</v>
      </c>
    </row>
    <row r="101" spans="1:6" s="37" customFormat="1" x14ac:dyDescent="0.25">
      <c r="A101" s="45" t="s">
        <v>219</v>
      </c>
      <c r="B101" s="46">
        <v>10</v>
      </c>
      <c r="C101" s="46">
        <v>8</v>
      </c>
      <c r="D101" s="46">
        <v>8</v>
      </c>
      <c r="E101" s="46">
        <v>8</v>
      </c>
      <c r="F101" s="313">
        <v>8</v>
      </c>
    </row>
    <row r="102" spans="1:6" ht="15.75" thickBot="1" x14ac:dyDescent="0.3">
      <c r="A102" s="635"/>
      <c r="B102" s="636"/>
      <c r="C102" s="636"/>
      <c r="D102" s="636"/>
      <c r="E102" s="636"/>
      <c r="F102" s="637"/>
    </row>
  </sheetData>
  <mergeCells count="2">
    <mergeCell ref="A8:F8"/>
    <mergeCell ref="A102:F102"/>
  </mergeCells>
  <hyperlinks>
    <hyperlink ref="B6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4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4:I74"/>
  <sheetViews>
    <sheetView zoomScale="110" zoomScaleNormal="110" workbookViewId="0">
      <selection activeCell="L9" sqref="L9"/>
    </sheetView>
  </sheetViews>
  <sheetFormatPr defaultRowHeight="15" x14ac:dyDescent="0.25"/>
  <cols>
    <col min="2" max="2" width="19.140625" customWidth="1"/>
    <col min="3" max="3" width="34.5703125" customWidth="1"/>
    <col min="4" max="4" width="33" customWidth="1"/>
  </cols>
  <sheetData>
    <row r="4" spans="1:9" ht="51.75" customHeight="1" x14ac:dyDescent="0.25"/>
    <row r="5" spans="1:9" ht="23.25" x14ac:dyDescent="0.35">
      <c r="A5" s="25" t="s">
        <v>745</v>
      </c>
      <c r="C5" s="14" t="s">
        <v>1152</v>
      </c>
    </row>
    <row r="6" spans="1:9" ht="38.25" customHeight="1" thickBot="1" x14ac:dyDescent="0.35">
      <c r="B6" s="383" t="s">
        <v>29</v>
      </c>
      <c r="C6" s="15"/>
      <c r="D6" t="s">
        <v>119</v>
      </c>
    </row>
    <row r="7" spans="1:9" ht="24.75" thickBot="1" x14ac:dyDescent="0.3">
      <c r="B7" s="451" t="s">
        <v>66</v>
      </c>
      <c r="C7" s="665" t="s">
        <v>1047</v>
      </c>
      <c r="D7" s="666"/>
      <c r="E7" s="667" t="s">
        <v>1048</v>
      </c>
      <c r="F7" s="668"/>
      <c r="G7" s="452" t="s">
        <v>1049</v>
      </c>
      <c r="H7" s="665" t="s">
        <v>1154</v>
      </c>
      <c r="I7" s="666"/>
    </row>
    <row r="8" spans="1:9" ht="16.5" customHeight="1" thickBot="1" x14ac:dyDescent="0.3">
      <c r="B8" s="638" t="s">
        <v>1050</v>
      </c>
      <c r="C8" s="655"/>
      <c r="D8" s="655"/>
      <c r="E8" s="655"/>
      <c r="F8" s="655"/>
      <c r="G8" s="655"/>
      <c r="H8" s="655"/>
      <c r="I8" s="655"/>
    </row>
    <row r="9" spans="1:9" ht="15" customHeight="1" x14ac:dyDescent="0.25">
      <c r="B9" s="417" t="s">
        <v>1051</v>
      </c>
      <c r="C9" s="656" t="s">
        <v>1053</v>
      </c>
      <c r="D9" s="657"/>
      <c r="E9" s="640">
        <v>25</v>
      </c>
      <c r="F9" s="641"/>
      <c r="G9" s="662">
        <v>40</v>
      </c>
      <c r="H9" s="640">
        <v>295</v>
      </c>
      <c r="I9" s="641"/>
    </row>
    <row r="10" spans="1:9" ht="15" customHeight="1" x14ac:dyDescent="0.25">
      <c r="B10" s="417">
        <v>2020</v>
      </c>
      <c r="C10" s="658"/>
      <c r="D10" s="659"/>
      <c r="E10" s="642"/>
      <c r="F10" s="643"/>
      <c r="G10" s="663"/>
      <c r="H10" s="642"/>
      <c r="I10" s="643"/>
    </row>
    <row r="11" spans="1:9" ht="15.75" customHeight="1" thickBot="1" x14ac:dyDescent="0.3">
      <c r="B11" s="418" t="s">
        <v>1052</v>
      </c>
      <c r="C11" s="660"/>
      <c r="D11" s="661"/>
      <c r="E11" s="644"/>
      <c r="F11" s="645"/>
      <c r="G11" s="664"/>
      <c r="H11" s="644"/>
      <c r="I11" s="645"/>
    </row>
    <row r="12" spans="1:9" ht="15" customHeight="1" x14ac:dyDescent="0.25">
      <c r="B12" s="417" t="s">
        <v>1051</v>
      </c>
      <c r="C12" s="656" t="s">
        <v>1055</v>
      </c>
      <c r="D12" s="657"/>
      <c r="E12" s="640">
        <v>20</v>
      </c>
      <c r="F12" s="641"/>
      <c r="G12" s="662">
        <v>50</v>
      </c>
      <c r="H12" s="640">
        <v>325</v>
      </c>
      <c r="I12" s="641"/>
    </row>
    <row r="13" spans="1:9" ht="15" customHeight="1" x14ac:dyDescent="0.25">
      <c r="B13" s="417">
        <v>6020</v>
      </c>
      <c r="C13" s="658"/>
      <c r="D13" s="659"/>
      <c r="E13" s="642"/>
      <c r="F13" s="643"/>
      <c r="G13" s="663"/>
      <c r="H13" s="642"/>
      <c r="I13" s="643"/>
    </row>
    <row r="14" spans="1:9" ht="15.75" customHeight="1" thickBot="1" x14ac:dyDescent="0.3">
      <c r="B14" s="418" t="s">
        <v>1054</v>
      </c>
      <c r="C14" s="660"/>
      <c r="D14" s="661"/>
      <c r="E14" s="644"/>
      <c r="F14" s="645"/>
      <c r="G14" s="664"/>
      <c r="H14" s="644"/>
      <c r="I14" s="645"/>
    </row>
    <row r="15" spans="1:9" ht="15" customHeight="1" x14ac:dyDescent="0.25">
      <c r="B15" s="417" t="s">
        <v>1051</v>
      </c>
      <c r="C15" s="656" t="s">
        <v>1057</v>
      </c>
      <c r="D15" s="657"/>
      <c r="E15" s="640">
        <v>17.5</v>
      </c>
      <c r="F15" s="641"/>
      <c r="G15" s="662">
        <v>55</v>
      </c>
      <c r="H15" s="640">
        <v>325</v>
      </c>
      <c r="I15" s="641"/>
    </row>
    <row r="16" spans="1:9" ht="15" customHeight="1" x14ac:dyDescent="0.25">
      <c r="B16" s="417">
        <v>8020</v>
      </c>
      <c r="C16" s="658"/>
      <c r="D16" s="659"/>
      <c r="E16" s="642"/>
      <c r="F16" s="643"/>
      <c r="G16" s="663"/>
      <c r="H16" s="642"/>
      <c r="I16" s="643"/>
    </row>
    <row r="17" spans="2:9" ht="15.75" customHeight="1" thickBot="1" x14ac:dyDescent="0.3">
      <c r="B17" s="418" t="s">
        <v>1056</v>
      </c>
      <c r="C17" s="660"/>
      <c r="D17" s="661"/>
      <c r="E17" s="644"/>
      <c r="F17" s="645"/>
      <c r="G17" s="664"/>
      <c r="H17" s="644"/>
      <c r="I17" s="645"/>
    </row>
    <row r="18" spans="2:9" ht="16.5" customHeight="1" thickBot="1" x14ac:dyDescent="0.3">
      <c r="B18" s="652" t="s">
        <v>1058</v>
      </c>
      <c r="C18" s="653"/>
      <c r="D18" s="653"/>
      <c r="E18" s="653"/>
      <c r="F18" s="653"/>
      <c r="G18" s="653"/>
      <c r="H18" s="653"/>
      <c r="I18" s="654"/>
    </row>
    <row r="19" spans="2:9" ht="16.5" thickBot="1" x14ac:dyDescent="0.3">
      <c r="B19" s="669" t="s">
        <v>1059</v>
      </c>
      <c r="D19" s="435" t="s">
        <v>1062</v>
      </c>
      <c r="E19" s="646">
        <v>50</v>
      </c>
      <c r="F19" s="647"/>
      <c r="G19" s="662">
        <v>30</v>
      </c>
      <c r="H19" s="638">
        <v>545</v>
      </c>
      <c r="I19" s="639"/>
    </row>
    <row r="20" spans="2:9" ht="16.5" thickBot="1" x14ac:dyDescent="0.3">
      <c r="B20" s="670"/>
      <c r="D20" s="435" t="s">
        <v>1063</v>
      </c>
      <c r="E20" s="648"/>
      <c r="F20" s="649"/>
      <c r="G20" s="663"/>
      <c r="H20" s="638">
        <v>415</v>
      </c>
      <c r="I20" s="639"/>
    </row>
    <row r="21" spans="2:9" ht="15" customHeight="1" x14ac:dyDescent="0.25">
      <c r="B21" s="670"/>
      <c r="D21" s="436" t="s">
        <v>1064</v>
      </c>
      <c r="E21" s="648"/>
      <c r="F21" s="649"/>
      <c r="G21" s="663"/>
      <c r="H21" s="640">
        <v>420</v>
      </c>
      <c r="I21" s="641"/>
    </row>
    <row r="22" spans="2:9" ht="15" customHeight="1" x14ac:dyDescent="0.25">
      <c r="B22" s="670"/>
      <c r="C22" s="420"/>
      <c r="D22" s="437" t="s">
        <v>1065</v>
      </c>
      <c r="E22" s="648"/>
      <c r="F22" s="649"/>
      <c r="G22" s="663"/>
      <c r="H22" s="642"/>
      <c r="I22" s="643"/>
    </row>
    <row r="23" spans="2:9" ht="15.75" customHeight="1" thickBot="1" x14ac:dyDescent="0.3">
      <c r="B23" s="670"/>
      <c r="C23" s="422" t="s">
        <v>1058</v>
      </c>
      <c r="D23" s="438" t="s">
        <v>1066</v>
      </c>
      <c r="E23" s="648"/>
      <c r="F23" s="649"/>
      <c r="G23" s="663"/>
      <c r="H23" s="644"/>
      <c r="I23" s="645"/>
    </row>
    <row r="24" spans="2:9" ht="16.5" thickBot="1" x14ac:dyDescent="0.3">
      <c r="B24" s="670"/>
      <c r="C24" s="419" t="s">
        <v>1060</v>
      </c>
      <c r="D24" s="435" t="s">
        <v>1067</v>
      </c>
      <c r="E24" s="648"/>
      <c r="F24" s="649"/>
      <c r="G24" s="663"/>
      <c r="H24" s="638">
        <v>465</v>
      </c>
      <c r="I24" s="639"/>
    </row>
    <row r="25" spans="2:9" ht="30.75" thickBot="1" x14ac:dyDescent="0.3">
      <c r="B25" s="670"/>
      <c r="C25" s="422" t="s">
        <v>1061</v>
      </c>
      <c r="D25" s="435" t="s">
        <v>1068</v>
      </c>
      <c r="E25" s="648"/>
      <c r="F25" s="649"/>
      <c r="G25" s="663"/>
      <c r="H25" s="638">
        <v>435</v>
      </c>
      <c r="I25" s="639"/>
    </row>
    <row r="26" spans="2:9" ht="16.5" thickBot="1" x14ac:dyDescent="0.3">
      <c r="B26" s="670"/>
      <c r="C26" s="420"/>
      <c r="D26" s="435" t="s">
        <v>1069</v>
      </c>
      <c r="E26" s="648"/>
      <c r="F26" s="649"/>
      <c r="G26" s="663"/>
      <c r="H26" s="638">
        <v>478</v>
      </c>
      <c r="I26" s="639"/>
    </row>
    <row r="27" spans="2:9" ht="16.5" thickBot="1" x14ac:dyDescent="0.3">
      <c r="B27" s="670"/>
      <c r="C27" s="420"/>
      <c r="D27" s="435" t="s">
        <v>1070</v>
      </c>
      <c r="E27" s="648"/>
      <c r="F27" s="649"/>
      <c r="G27" s="663"/>
      <c r="H27" s="638">
        <v>360</v>
      </c>
      <c r="I27" s="639"/>
    </row>
    <row r="28" spans="2:9" ht="16.5" thickBot="1" x14ac:dyDescent="0.3">
      <c r="B28" s="670"/>
      <c r="C28" s="420"/>
      <c r="D28" s="435" t="s">
        <v>1071</v>
      </c>
      <c r="E28" s="648"/>
      <c r="F28" s="649"/>
      <c r="G28" s="663"/>
      <c r="H28" s="638">
        <v>450</v>
      </c>
      <c r="I28" s="639"/>
    </row>
    <row r="29" spans="2:9" ht="16.5" thickBot="1" x14ac:dyDescent="0.3">
      <c r="B29" s="670"/>
      <c r="C29" s="420"/>
      <c r="D29" s="435" t="s">
        <v>1072</v>
      </c>
      <c r="E29" s="648"/>
      <c r="F29" s="649"/>
      <c r="G29" s="663"/>
      <c r="H29" s="638">
        <v>505</v>
      </c>
      <c r="I29" s="639"/>
    </row>
    <row r="30" spans="2:9" ht="15" customHeight="1" x14ac:dyDescent="0.25">
      <c r="B30" s="670"/>
      <c r="C30" s="420"/>
      <c r="D30" s="436" t="s">
        <v>1073</v>
      </c>
      <c r="E30" s="648"/>
      <c r="F30" s="649"/>
      <c r="G30" s="663"/>
      <c r="H30" s="640">
        <v>560</v>
      </c>
      <c r="I30" s="641"/>
    </row>
    <row r="31" spans="2:9" ht="15.75" customHeight="1" thickBot="1" x14ac:dyDescent="0.3">
      <c r="B31" s="670"/>
      <c r="C31" s="420"/>
      <c r="D31" s="438" t="s">
        <v>1074</v>
      </c>
      <c r="E31" s="648"/>
      <c r="F31" s="649"/>
      <c r="G31" s="663"/>
      <c r="H31" s="644"/>
      <c r="I31" s="645"/>
    </row>
    <row r="32" spans="2:9" ht="16.5" thickBot="1" x14ac:dyDescent="0.3">
      <c r="B32" s="671"/>
      <c r="C32" s="421"/>
      <c r="D32" s="435" t="s">
        <v>1075</v>
      </c>
      <c r="E32" s="650"/>
      <c r="F32" s="651"/>
      <c r="G32" s="664"/>
      <c r="H32" s="638">
        <v>645</v>
      </c>
      <c r="I32" s="639"/>
    </row>
    <row r="33" spans="2:9" ht="16.5" thickBot="1" x14ac:dyDescent="0.3">
      <c r="B33" s="672" t="s">
        <v>1076</v>
      </c>
      <c r="C33" s="431"/>
      <c r="D33" s="424" t="s">
        <v>1079</v>
      </c>
      <c r="E33" s="646">
        <v>50</v>
      </c>
      <c r="F33" s="647"/>
      <c r="G33" s="662">
        <v>30</v>
      </c>
      <c r="H33" s="638">
        <v>650</v>
      </c>
      <c r="I33" s="639"/>
    </row>
    <row r="34" spans="2:9" ht="16.5" thickBot="1" x14ac:dyDescent="0.3">
      <c r="B34" s="673"/>
      <c r="C34" s="432"/>
      <c r="D34" s="425" t="s">
        <v>1080</v>
      </c>
      <c r="E34" s="648"/>
      <c r="F34" s="649"/>
      <c r="G34" s="663"/>
      <c r="H34" s="638">
        <v>555</v>
      </c>
      <c r="I34" s="639"/>
    </row>
    <row r="35" spans="2:9" ht="15" customHeight="1" x14ac:dyDescent="0.25">
      <c r="B35" s="673"/>
      <c r="C35" s="432"/>
      <c r="D35" s="426" t="s">
        <v>1081</v>
      </c>
      <c r="E35" s="648"/>
      <c r="F35" s="649"/>
      <c r="G35" s="663"/>
      <c r="H35" s="640">
        <v>585</v>
      </c>
      <c r="I35" s="641"/>
    </row>
    <row r="36" spans="2:9" ht="15" customHeight="1" x14ac:dyDescent="0.25">
      <c r="B36" s="673"/>
      <c r="C36" s="432"/>
      <c r="D36" s="426" t="s">
        <v>1082</v>
      </c>
      <c r="E36" s="648"/>
      <c r="F36" s="649"/>
      <c r="G36" s="663"/>
      <c r="H36" s="642"/>
      <c r="I36" s="643"/>
    </row>
    <row r="37" spans="2:9" ht="15.75" customHeight="1" thickBot="1" x14ac:dyDescent="0.3">
      <c r="B37" s="673"/>
      <c r="C37" s="433" t="s">
        <v>1058</v>
      </c>
      <c r="D37" s="425" t="s">
        <v>1083</v>
      </c>
      <c r="E37" s="648"/>
      <c r="F37" s="649"/>
      <c r="G37" s="663"/>
      <c r="H37" s="644"/>
      <c r="I37" s="645"/>
    </row>
    <row r="38" spans="2:9" ht="15" customHeight="1" x14ac:dyDescent="0.25">
      <c r="B38" s="673"/>
      <c r="C38" s="423" t="s">
        <v>1077</v>
      </c>
      <c r="D38" s="426" t="s">
        <v>1084</v>
      </c>
      <c r="E38" s="648"/>
      <c r="F38" s="649"/>
      <c r="G38" s="663"/>
      <c r="H38" s="640">
        <v>610</v>
      </c>
      <c r="I38" s="641"/>
    </row>
    <row r="39" spans="2:9" ht="30" x14ac:dyDescent="0.25">
      <c r="B39" s="673"/>
      <c r="C39" s="433" t="s">
        <v>1078</v>
      </c>
      <c r="D39" s="426" t="s">
        <v>1085</v>
      </c>
      <c r="E39" s="648"/>
      <c r="F39" s="649"/>
      <c r="G39" s="663"/>
      <c r="H39" s="642"/>
      <c r="I39" s="643"/>
    </row>
    <row r="40" spans="2:9" ht="15.75" customHeight="1" thickBot="1" x14ac:dyDescent="0.3">
      <c r="B40" s="673"/>
      <c r="C40" s="408"/>
      <c r="D40" s="425" t="s">
        <v>1086</v>
      </c>
      <c r="E40" s="648"/>
      <c r="F40" s="649"/>
      <c r="G40" s="663"/>
      <c r="H40" s="644"/>
      <c r="I40" s="645"/>
    </row>
    <row r="41" spans="2:9" ht="16.5" thickBot="1" x14ac:dyDescent="0.3">
      <c r="B41" s="673"/>
      <c r="C41" s="408"/>
      <c r="D41" s="425" t="s">
        <v>1087</v>
      </c>
      <c r="E41" s="648"/>
      <c r="F41" s="649"/>
      <c r="G41" s="663"/>
      <c r="H41" s="638">
        <v>450</v>
      </c>
      <c r="I41" s="639"/>
    </row>
    <row r="42" spans="2:9" ht="16.5" thickBot="1" x14ac:dyDescent="0.3">
      <c r="B42" s="673"/>
      <c r="C42" s="408"/>
      <c r="D42" s="425" t="s">
        <v>1088</v>
      </c>
      <c r="E42" s="648"/>
      <c r="F42" s="649"/>
      <c r="G42" s="663"/>
      <c r="H42" s="638">
        <v>570</v>
      </c>
      <c r="I42" s="639"/>
    </row>
    <row r="43" spans="2:9" ht="16.5" thickBot="1" x14ac:dyDescent="0.3">
      <c r="B43" s="673"/>
      <c r="C43" s="408"/>
      <c r="D43" s="425" t="s">
        <v>1089</v>
      </c>
      <c r="E43" s="648"/>
      <c r="F43" s="649"/>
      <c r="G43" s="663"/>
      <c r="H43" s="638">
        <v>610</v>
      </c>
      <c r="I43" s="639"/>
    </row>
    <row r="44" spans="2:9" ht="15" customHeight="1" x14ac:dyDescent="0.25">
      <c r="B44" s="673"/>
      <c r="C44" s="408"/>
      <c r="D44" s="426" t="s">
        <v>1090</v>
      </c>
      <c r="E44" s="648"/>
      <c r="F44" s="649"/>
      <c r="G44" s="663"/>
      <c r="H44" s="640">
        <v>655</v>
      </c>
      <c r="I44" s="641"/>
    </row>
    <row r="45" spans="2:9" ht="15.75" customHeight="1" thickBot="1" x14ac:dyDescent="0.3">
      <c r="B45" s="673"/>
      <c r="C45" s="408"/>
      <c r="D45" s="425" t="s">
        <v>1091</v>
      </c>
      <c r="E45" s="648"/>
      <c r="F45" s="649"/>
      <c r="G45" s="663"/>
      <c r="H45" s="644"/>
      <c r="I45" s="645"/>
    </row>
    <row r="46" spans="2:9" ht="16.5" thickBot="1" x14ac:dyDescent="0.3">
      <c r="B46" s="674"/>
      <c r="C46" s="434"/>
      <c r="D46" s="425" t="s">
        <v>1092</v>
      </c>
      <c r="E46" s="650"/>
      <c r="F46" s="651"/>
      <c r="G46" s="664"/>
      <c r="H46" s="638">
        <v>760</v>
      </c>
      <c r="I46" s="639"/>
    </row>
    <row r="47" spans="2:9" ht="16.5" thickBot="1" x14ac:dyDescent="0.3">
      <c r="B47" s="669" t="s">
        <v>1093</v>
      </c>
      <c r="C47" s="431"/>
      <c r="D47" s="425" t="s">
        <v>1096</v>
      </c>
      <c r="E47" s="648">
        <v>50</v>
      </c>
      <c r="F47" s="649"/>
      <c r="G47" s="662">
        <v>30</v>
      </c>
      <c r="H47" s="638">
        <v>665</v>
      </c>
      <c r="I47" s="639"/>
    </row>
    <row r="48" spans="2:9" ht="16.5" thickBot="1" x14ac:dyDescent="0.3">
      <c r="B48" s="670"/>
      <c r="C48" s="432"/>
      <c r="D48" s="425" t="s">
        <v>1097</v>
      </c>
      <c r="E48" s="648"/>
      <c r="F48" s="649"/>
      <c r="G48" s="663"/>
      <c r="H48" s="638">
        <v>580</v>
      </c>
      <c r="I48" s="639"/>
    </row>
    <row r="49" spans="2:9" ht="15" customHeight="1" x14ac:dyDescent="0.25">
      <c r="B49" s="670"/>
      <c r="C49" s="432"/>
      <c r="D49" s="426" t="s">
        <v>1098</v>
      </c>
      <c r="E49" s="648"/>
      <c r="F49" s="649"/>
      <c r="G49" s="663"/>
      <c r="H49" s="640">
        <v>600</v>
      </c>
      <c r="I49" s="641"/>
    </row>
    <row r="50" spans="2:9" ht="15" customHeight="1" x14ac:dyDescent="0.25">
      <c r="B50" s="670"/>
      <c r="C50" s="408"/>
      <c r="D50" s="426" t="s">
        <v>1099</v>
      </c>
      <c r="E50" s="648"/>
      <c r="F50" s="649"/>
      <c r="G50" s="663"/>
      <c r="H50" s="642"/>
      <c r="I50" s="643"/>
    </row>
    <row r="51" spans="2:9" ht="15.75" customHeight="1" thickBot="1" x14ac:dyDescent="0.3">
      <c r="B51" s="670"/>
      <c r="C51" s="433" t="s">
        <v>1058</v>
      </c>
      <c r="D51" s="425" t="s">
        <v>1100</v>
      </c>
      <c r="E51" s="648"/>
      <c r="F51" s="649"/>
      <c r="G51" s="663"/>
      <c r="H51" s="644"/>
      <c r="I51" s="645"/>
    </row>
    <row r="52" spans="2:9" ht="15" customHeight="1" x14ac:dyDescent="0.25">
      <c r="B52" s="670"/>
      <c r="C52" s="423" t="s">
        <v>1094</v>
      </c>
      <c r="D52" s="426" t="s">
        <v>1101</v>
      </c>
      <c r="E52" s="648"/>
      <c r="F52" s="649"/>
      <c r="G52" s="663"/>
      <c r="H52" s="640">
        <v>625</v>
      </c>
      <c r="I52" s="641"/>
    </row>
    <row r="53" spans="2:9" ht="24.75" customHeight="1" thickBot="1" x14ac:dyDescent="0.3">
      <c r="B53" s="670"/>
      <c r="C53" s="433" t="s">
        <v>1095</v>
      </c>
      <c r="D53" s="425" t="s">
        <v>1102</v>
      </c>
      <c r="E53" s="648"/>
      <c r="F53" s="649"/>
      <c r="G53" s="663"/>
      <c r="H53" s="644"/>
      <c r="I53" s="645"/>
    </row>
    <row r="54" spans="2:9" ht="16.5" thickBot="1" x14ac:dyDescent="0.3">
      <c r="B54" s="670"/>
      <c r="C54" s="408"/>
      <c r="D54" s="425" t="s">
        <v>1103</v>
      </c>
      <c r="E54" s="648"/>
      <c r="F54" s="649"/>
      <c r="G54" s="663"/>
      <c r="H54" s="638">
        <v>630</v>
      </c>
      <c r="I54" s="639"/>
    </row>
    <row r="55" spans="2:9" ht="16.5" thickBot="1" x14ac:dyDescent="0.3">
      <c r="B55" s="670"/>
      <c r="C55" s="408"/>
      <c r="D55" s="425" t="s">
        <v>1104</v>
      </c>
      <c r="E55" s="648"/>
      <c r="F55" s="649"/>
      <c r="G55" s="663"/>
      <c r="H55" s="638">
        <v>480</v>
      </c>
      <c r="I55" s="639"/>
    </row>
    <row r="56" spans="2:9" ht="16.5" thickBot="1" x14ac:dyDescent="0.3">
      <c r="B56" s="670"/>
      <c r="C56" s="408"/>
      <c r="D56" s="425" t="s">
        <v>1105</v>
      </c>
      <c r="E56" s="648"/>
      <c r="F56" s="649"/>
      <c r="G56" s="663"/>
      <c r="H56" s="638">
        <v>600</v>
      </c>
      <c r="I56" s="639"/>
    </row>
    <row r="57" spans="2:9" ht="16.5" thickBot="1" x14ac:dyDescent="0.3">
      <c r="B57" s="670"/>
      <c r="C57" s="408"/>
      <c r="D57" s="425" t="s">
        <v>1106</v>
      </c>
      <c r="E57" s="648"/>
      <c r="F57" s="649"/>
      <c r="G57" s="663"/>
      <c r="H57" s="638">
        <v>630</v>
      </c>
      <c r="I57" s="639"/>
    </row>
    <row r="58" spans="2:9" ht="15" customHeight="1" x14ac:dyDescent="0.25">
      <c r="B58" s="670"/>
      <c r="C58" s="408"/>
      <c r="D58" s="426" t="s">
        <v>1107</v>
      </c>
      <c r="E58" s="648"/>
      <c r="F58" s="649"/>
      <c r="G58" s="663"/>
      <c r="H58" s="640">
        <v>675</v>
      </c>
      <c r="I58" s="641"/>
    </row>
    <row r="59" spans="2:9" ht="15.75" customHeight="1" thickBot="1" x14ac:dyDescent="0.3">
      <c r="B59" s="670"/>
      <c r="C59" s="408"/>
      <c r="D59" s="425" t="s">
        <v>1108</v>
      </c>
      <c r="E59" s="648"/>
      <c r="F59" s="649"/>
      <c r="G59" s="663"/>
      <c r="H59" s="644"/>
      <c r="I59" s="645"/>
    </row>
    <row r="60" spans="2:9" ht="16.5" thickBot="1" x14ac:dyDescent="0.3">
      <c r="B60" s="671"/>
      <c r="C60" s="434"/>
      <c r="D60" s="425" t="s">
        <v>1109</v>
      </c>
      <c r="E60" s="650"/>
      <c r="F60" s="651"/>
      <c r="G60" s="664"/>
      <c r="H60" s="638">
        <v>780</v>
      </c>
      <c r="I60" s="639"/>
    </row>
    <row r="61" spans="2:9" ht="16.5" customHeight="1" thickBot="1" x14ac:dyDescent="0.3">
      <c r="B61" s="652" t="s">
        <v>1110</v>
      </c>
      <c r="C61" s="653"/>
      <c r="D61" s="653"/>
      <c r="E61" s="653"/>
      <c r="F61" s="653"/>
      <c r="G61" s="653"/>
      <c r="H61" s="653"/>
      <c r="I61" s="654"/>
    </row>
    <row r="62" spans="2:9" ht="16.5" thickBot="1" x14ac:dyDescent="0.3">
      <c r="B62" s="669" t="s">
        <v>1111</v>
      </c>
      <c r="C62" s="431"/>
      <c r="D62" s="425" t="s">
        <v>1114</v>
      </c>
      <c r="E62" s="646">
        <v>25</v>
      </c>
      <c r="F62" s="647"/>
      <c r="G62" s="662">
        <v>48</v>
      </c>
      <c r="H62" s="638">
        <v>815</v>
      </c>
      <c r="I62" s="639"/>
    </row>
    <row r="63" spans="2:9" ht="15" customHeight="1" x14ac:dyDescent="0.25">
      <c r="B63" s="670"/>
      <c r="C63" s="432"/>
      <c r="D63" s="426" t="s">
        <v>1115</v>
      </c>
      <c r="E63" s="648"/>
      <c r="F63" s="649"/>
      <c r="G63" s="663"/>
      <c r="H63" s="640">
        <v>835</v>
      </c>
      <c r="I63" s="641"/>
    </row>
    <row r="64" spans="2:9" ht="15" customHeight="1" x14ac:dyDescent="0.25">
      <c r="B64" s="670"/>
      <c r="C64" s="408"/>
      <c r="D64" s="426" t="s">
        <v>1116</v>
      </c>
      <c r="E64" s="648"/>
      <c r="F64" s="649"/>
      <c r="G64" s="663"/>
      <c r="H64" s="642"/>
      <c r="I64" s="643"/>
    </row>
    <row r="65" spans="2:9" ht="15" customHeight="1" x14ac:dyDescent="0.25">
      <c r="B65" s="670"/>
      <c r="C65" s="432"/>
      <c r="D65" s="426" t="s">
        <v>1117</v>
      </c>
      <c r="E65" s="648"/>
      <c r="F65" s="649"/>
      <c r="G65" s="663"/>
      <c r="H65" s="642"/>
      <c r="I65" s="643"/>
    </row>
    <row r="66" spans="2:9" ht="15" customHeight="1" x14ac:dyDescent="0.25">
      <c r="B66" s="670"/>
      <c r="C66" s="433" t="s">
        <v>1112</v>
      </c>
      <c r="D66" s="426" t="s">
        <v>1118</v>
      </c>
      <c r="E66" s="648"/>
      <c r="F66" s="649"/>
      <c r="G66" s="663"/>
      <c r="H66" s="642"/>
      <c r="I66" s="643"/>
    </row>
    <row r="67" spans="2:9" x14ac:dyDescent="0.25">
      <c r="B67" s="670"/>
      <c r="C67" s="433" t="s">
        <v>1113</v>
      </c>
      <c r="D67" s="426" t="s">
        <v>1119</v>
      </c>
      <c r="E67" s="648"/>
      <c r="F67" s="649"/>
      <c r="G67" s="663"/>
      <c r="H67" s="642"/>
      <c r="I67" s="643"/>
    </row>
    <row r="68" spans="2:9" ht="15" customHeight="1" x14ac:dyDescent="0.25">
      <c r="B68" s="670"/>
      <c r="C68" s="408"/>
      <c r="D68" s="426" t="s">
        <v>1120</v>
      </c>
      <c r="E68" s="648"/>
      <c r="F68" s="649"/>
      <c r="G68" s="663"/>
      <c r="H68" s="642"/>
      <c r="I68" s="643"/>
    </row>
    <row r="69" spans="2:9" ht="15" customHeight="1" x14ac:dyDescent="0.25">
      <c r="B69" s="670"/>
      <c r="C69" s="408"/>
      <c r="D69" s="426" t="s">
        <v>1121</v>
      </c>
      <c r="E69" s="648"/>
      <c r="F69" s="649"/>
      <c r="G69" s="663"/>
      <c r="H69" s="642"/>
      <c r="I69" s="643"/>
    </row>
    <row r="70" spans="2:9" ht="15" customHeight="1" x14ac:dyDescent="0.25">
      <c r="B70" s="670"/>
      <c r="C70" s="408"/>
      <c r="D70" s="426" t="s">
        <v>1122</v>
      </c>
      <c r="E70" s="648"/>
      <c r="F70" s="649"/>
      <c r="G70" s="663"/>
      <c r="H70" s="642"/>
      <c r="I70" s="643"/>
    </row>
    <row r="71" spans="2:9" ht="15.75" customHeight="1" thickBot="1" x14ac:dyDescent="0.3">
      <c r="B71" s="670"/>
      <c r="C71" s="408"/>
      <c r="D71" s="425" t="s">
        <v>1123</v>
      </c>
      <c r="E71" s="648"/>
      <c r="F71" s="649"/>
      <c r="G71" s="663"/>
      <c r="H71" s="644"/>
      <c r="I71" s="645"/>
    </row>
    <row r="72" spans="2:9" ht="15" customHeight="1" x14ac:dyDescent="0.25">
      <c r="B72" s="670"/>
      <c r="C72" s="408"/>
      <c r="D72" s="426" t="s">
        <v>1124</v>
      </c>
      <c r="E72" s="648"/>
      <c r="F72" s="649"/>
      <c r="G72" s="663"/>
      <c r="H72" s="640">
        <v>885</v>
      </c>
      <c r="I72" s="641"/>
    </row>
    <row r="73" spans="2:9" ht="15.75" customHeight="1" thickBot="1" x14ac:dyDescent="0.3">
      <c r="B73" s="671"/>
      <c r="C73" s="434"/>
      <c r="D73" s="425" t="s">
        <v>1125</v>
      </c>
      <c r="E73" s="650"/>
      <c r="F73" s="651"/>
      <c r="G73" s="664"/>
      <c r="H73" s="644"/>
      <c r="I73" s="645"/>
    </row>
    <row r="74" spans="2:9" ht="15.75" thickBot="1" x14ac:dyDescent="0.3">
      <c r="B74" s="453"/>
      <c r="C74" s="454"/>
      <c r="D74" s="454"/>
      <c r="E74" s="454"/>
      <c r="F74" s="454"/>
      <c r="G74" s="454"/>
      <c r="H74" s="454"/>
      <c r="I74" s="455"/>
    </row>
  </sheetData>
  <mergeCells count="63">
    <mergeCell ref="B62:B73"/>
    <mergeCell ref="G62:G73"/>
    <mergeCell ref="H62:I62"/>
    <mergeCell ref="H63:I71"/>
    <mergeCell ref="H72:I73"/>
    <mergeCell ref="E62:F73"/>
    <mergeCell ref="E19:F32"/>
    <mergeCell ref="B33:B46"/>
    <mergeCell ref="G33:G46"/>
    <mergeCell ref="H32:I32"/>
    <mergeCell ref="B47:B60"/>
    <mergeCell ref="G47:G60"/>
    <mergeCell ref="H25:I25"/>
    <mergeCell ref="H26:I26"/>
    <mergeCell ref="G19:G32"/>
    <mergeCell ref="H27:I27"/>
    <mergeCell ref="H28:I28"/>
    <mergeCell ref="H29:I29"/>
    <mergeCell ref="H30:I31"/>
    <mergeCell ref="C7:D7"/>
    <mergeCell ref="E7:F7"/>
    <mergeCell ref="H7:I7"/>
    <mergeCell ref="C9:D11"/>
    <mergeCell ref="E9:F11"/>
    <mergeCell ref="G9:G11"/>
    <mergeCell ref="H9:I11"/>
    <mergeCell ref="B61:I61"/>
    <mergeCell ref="B18:I18"/>
    <mergeCell ref="B8:I8"/>
    <mergeCell ref="C12:D14"/>
    <mergeCell ref="E12:F14"/>
    <mergeCell ref="G12:G14"/>
    <mergeCell ref="H12:I14"/>
    <mergeCell ref="B19:B32"/>
    <mergeCell ref="C15:D17"/>
    <mergeCell ref="E15:F17"/>
    <mergeCell ref="G15:G17"/>
    <mergeCell ref="H15:I17"/>
    <mergeCell ref="H19:I19"/>
    <mergeCell ref="H20:I20"/>
    <mergeCell ref="H21:I23"/>
    <mergeCell ref="H24:I24"/>
    <mergeCell ref="H56:I56"/>
    <mergeCell ref="H57:I57"/>
    <mergeCell ref="H58:I59"/>
    <mergeCell ref="H60:I60"/>
    <mergeCell ref="E33:F46"/>
    <mergeCell ref="E47:F60"/>
    <mergeCell ref="H48:I48"/>
    <mergeCell ref="H49:I51"/>
    <mergeCell ref="H52:I53"/>
    <mergeCell ref="H54:I54"/>
    <mergeCell ref="H55:I55"/>
    <mergeCell ref="H42:I42"/>
    <mergeCell ref="H43:I43"/>
    <mergeCell ref="H44:I45"/>
    <mergeCell ref="H46:I46"/>
    <mergeCell ref="H47:I47"/>
    <mergeCell ref="H33:I33"/>
    <mergeCell ref="H34:I34"/>
    <mergeCell ref="H35:I37"/>
    <mergeCell ref="H38:I40"/>
    <mergeCell ref="H41:I41"/>
  </mergeCells>
  <hyperlinks>
    <hyperlink ref="B6" location="Общий!A1" display="на главную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2:K36"/>
  <sheetViews>
    <sheetView workbookViewId="0">
      <selection activeCell="J5" sqref="J5"/>
    </sheetView>
  </sheetViews>
  <sheetFormatPr defaultRowHeight="15" x14ac:dyDescent="0.25"/>
  <cols>
    <col min="1" max="1" width="31" customWidth="1"/>
    <col min="2" max="2" width="28.42578125" bestFit="1" customWidth="1"/>
    <col min="3" max="3" width="10" bestFit="1" customWidth="1"/>
    <col min="4" max="4" width="11.42578125" bestFit="1" customWidth="1"/>
    <col min="5" max="5" width="25.85546875" customWidth="1"/>
    <col min="6" max="6" width="13.28515625" bestFit="1" customWidth="1"/>
    <col min="7" max="7" width="14.28515625" customWidth="1"/>
    <col min="8" max="8" width="13.85546875" customWidth="1"/>
    <col min="9" max="9" width="25.140625" customWidth="1"/>
    <col min="10" max="11" width="17.42578125" customWidth="1"/>
    <col min="12" max="12" width="18.5703125" customWidth="1"/>
  </cols>
  <sheetData>
    <row r="2" spans="1:11" x14ac:dyDescent="0.25">
      <c r="I2" s="17"/>
    </row>
    <row r="3" spans="1:11" ht="23.25" x14ac:dyDescent="0.35">
      <c r="D3" s="14" t="s">
        <v>27</v>
      </c>
      <c r="I3" s="17"/>
    </row>
    <row r="4" spans="1:11" x14ac:dyDescent="0.25">
      <c r="I4" s="17"/>
    </row>
    <row r="5" spans="1:11" ht="21" x14ac:dyDescent="0.35">
      <c r="D5" s="16" t="s">
        <v>28</v>
      </c>
      <c r="I5" s="17"/>
      <c r="J5" s="17"/>
    </row>
    <row r="6" spans="1:11" ht="18.75" x14ac:dyDescent="0.3">
      <c r="A6" s="25" t="s">
        <v>745</v>
      </c>
      <c r="D6" s="15" t="s">
        <v>31</v>
      </c>
      <c r="I6" s="17"/>
    </row>
    <row r="7" spans="1:11" ht="18.75" x14ac:dyDescent="0.3">
      <c r="B7" s="265" t="s">
        <v>29</v>
      </c>
      <c r="D7" s="15" t="s">
        <v>30</v>
      </c>
    </row>
    <row r="8" spans="1:11" ht="18.75" x14ac:dyDescent="0.3">
      <c r="D8" s="15"/>
      <c r="H8" t="s">
        <v>119</v>
      </c>
    </row>
    <row r="9" spans="1:11" ht="30" customHeight="1" x14ac:dyDescent="0.25">
      <c r="A9" s="462" t="s">
        <v>18</v>
      </c>
      <c r="B9" s="462" t="s">
        <v>0</v>
      </c>
      <c r="C9" s="462"/>
      <c r="D9" s="462" t="s">
        <v>1</v>
      </c>
      <c r="E9" s="462"/>
      <c r="F9" s="462"/>
      <c r="G9" s="462" t="s">
        <v>13</v>
      </c>
      <c r="H9" s="462" t="s">
        <v>23</v>
      </c>
      <c r="I9" s="462" t="s">
        <v>14</v>
      </c>
      <c r="J9" s="462" t="s">
        <v>1033</v>
      </c>
      <c r="K9" s="462" t="s">
        <v>38</v>
      </c>
    </row>
    <row r="10" spans="1:11" ht="30" customHeight="1" x14ac:dyDescent="0.25">
      <c r="A10" s="462"/>
      <c r="B10" s="462"/>
      <c r="C10" s="462"/>
      <c r="D10" s="7" t="s">
        <v>2</v>
      </c>
      <c r="E10" s="7" t="s">
        <v>3</v>
      </c>
      <c r="F10" s="7" t="s">
        <v>4</v>
      </c>
      <c r="G10" s="462"/>
      <c r="H10" s="462"/>
      <c r="I10" s="462"/>
      <c r="J10" s="462"/>
      <c r="K10" s="462"/>
    </row>
    <row r="11" spans="1:11" ht="30" customHeight="1" x14ac:dyDescent="0.25">
      <c r="B11" s="464" t="s">
        <v>5</v>
      </c>
      <c r="C11" s="464"/>
      <c r="D11" s="4">
        <v>625</v>
      </c>
      <c r="E11" s="4">
        <v>250</v>
      </c>
      <c r="F11" s="4">
        <v>200</v>
      </c>
      <c r="G11" s="4" t="s">
        <v>11</v>
      </c>
      <c r="H11" s="4">
        <v>42</v>
      </c>
      <c r="I11" s="4" t="s">
        <v>1034</v>
      </c>
      <c r="J11" s="20">
        <v>4590</v>
      </c>
      <c r="K11" s="20">
        <v>5200</v>
      </c>
    </row>
    <row r="12" spans="1:11" ht="30" customHeight="1" x14ac:dyDescent="0.25">
      <c r="B12" s="460" t="s">
        <v>20</v>
      </c>
      <c r="C12" s="460"/>
      <c r="D12" s="6">
        <v>625</v>
      </c>
      <c r="E12" s="6">
        <v>250</v>
      </c>
      <c r="F12" s="6">
        <v>300</v>
      </c>
      <c r="G12" s="6" t="s">
        <v>12</v>
      </c>
      <c r="H12" s="6">
        <v>30</v>
      </c>
      <c r="I12" s="6" t="s">
        <v>1035</v>
      </c>
      <c r="J12" s="21">
        <v>4630</v>
      </c>
      <c r="K12" s="21">
        <v>5200</v>
      </c>
    </row>
    <row r="13" spans="1:11" ht="30" customHeight="1" x14ac:dyDescent="0.25">
      <c r="B13" s="5" t="s">
        <v>17</v>
      </c>
      <c r="C13" s="4" t="s">
        <v>6</v>
      </c>
      <c r="D13" s="4">
        <v>625</v>
      </c>
      <c r="E13" s="4">
        <v>250</v>
      </c>
      <c r="F13" s="4">
        <v>375</v>
      </c>
      <c r="G13" s="4" t="s">
        <v>12</v>
      </c>
      <c r="H13" s="4">
        <v>24</v>
      </c>
      <c r="I13" s="4" t="s">
        <v>1035</v>
      </c>
      <c r="J13" s="20">
        <v>4800</v>
      </c>
      <c r="K13" s="20">
        <v>5200</v>
      </c>
    </row>
    <row r="14" spans="1:11" ht="30" customHeight="1" x14ac:dyDescent="0.25">
      <c r="B14" s="6" t="s">
        <v>15</v>
      </c>
      <c r="C14" s="6" t="s">
        <v>16</v>
      </c>
      <c r="D14" s="6">
        <v>625</v>
      </c>
      <c r="E14" s="6">
        <v>250</v>
      </c>
      <c r="F14" s="6">
        <v>500</v>
      </c>
      <c r="G14" s="6" t="s">
        <v>12</v>
      </c>
      <c r="H14" s="6">
        <v>18</v>
      </c>
      <c r="I14" s="6" t="s">
        <v>1035</v>
      </c>
      <c r="J14" s="21">
        <v>4860</v>
      </c>
      <c r="K14" s="21">
        <v>5200</v>
      </c>
    </row>
    <row r="15" spans="1:11" x14ac:dyDescent="0.25">
      <c r="A15" s="459"/>
      <c r="B15" s="459"/>
      <c r="C15" s="459"/>
      <c r="D15" s="459"/>
      <c r="E15" s="459"/>
      <c r="F15" s="459"/>
      <c r="G15" s="459"/>
      <c r="H15" s="459"/>
      <c r="I15" s="459"/>
      <c r="J15" s="459"/>
      <c r="K15" s="459"/>
    </row>
    <row r="16" spans="1:11" ht="30" customHeight="1" x14ac:dyDescent="0.25">
      <c r="B16" s="463" t="s">
        <v>5</v>
      </c>
      <c r="C16" s="463"/>
      <c r="D16" s="2">
        <v>625</v>
      </c>
      <c r="E16" s="2">
        <v>250</v>
      </c>
      <c r="F16" s="2">
        <v>300</v>
      </c>
      <c r="G16" s="2" t="s">
        <v>12</v>
      </c>
      <c r="H16" s="2">
        <v>30</v>
      </c>
      <c r="I16" s="2" t="s">
        <v>1035</v>
      </c>
      <c r="J16" s="20">
        <v>4630</v>
      </c>
      <c r="K16" s="20">
        <v>5250</v>
      </c>
    </row>
    <row r="17" spans="1:11" ht="30" customHeight="1" x14ac:dyDescent="0.25">
      <c r="B17" s="460" t="s">
        <v>21</v>
      </c>
      <c r="C17" s="460"/>
      <c r="D17" s="11">
        <v>625</v>
      </c>
      <c r="E17" s="11">
        <v>250</v>
      </c>
      <c r="F17" s="11">
        <v>375</v>
      </c>
      <c r="G17" s="11" t="s">
        <v>12</v>
      </c>
      <c r="H17" s="11">
        <v>24</v>
      </c>
      <c r="I17" s="11" t="s">
        <v>1035</v>
      </c>
      <c r="J17" s="21">
        <v>4820</v>
      </c>
      <c r="K17" s="21">
        <v>5250</v>
      </c>
    </row>
    <row r="18" spans="1:11" ht="30" customHeight="1" x14ac:dyDescent="0.25">
      <c r="B18" s="5" t="s">
        <v>17</v>
      </c>
      <c r="C18" s="4" t="s">
        <v>6</v>
      </c>
      <c r="D18" s="4"/>
      <c r="E18" s="4"/>
      <c r="F18" s="4"/>
      <c r="G18" s="4"/>
      <c r="H18" s="4"/>
      <c r="I18" s="4"/>
      <c r="J18" s="20"/>
      <c r="K18" s="20"/>
    </row>
    <row r="19" spans="1:11" ht="30" customHeight="1" x14ac:dyDescent="0.25">
      <c r="B19" s="6" t="s">
        <v>15</v>
      </c>
      <c r="C19" s="6" t="s">
        <v>16</v>
      </c>
      <c r="D19" s="6"/>
      <c r="E19" s="6"/>
      <c r="F19" s="6"/>
      <c r="G19" s="6"/>
      <c r="H19" s="6"/>
      <c r="I19" s="6"/>
      <c r="J19" s="21"/>
      <c r="K19" s="21"/>
    </row>
    <row r="20" spans="1:11" x14ac:dyDescent="0.25">
      <c r="A20" s="459"/>
      <c r="B20" s="459"/>
      <c r="C20" s="459"/>
      <c r="D20" s="459"/>
      <c r="E20" s="459"/>
      <c r="F20" s="459"/>
      <c r="G20" s="459"/>
      <c r="H20" s="459"/>
      <c r="I20" s="459"/>
      <c r="J20" s="459"/>
      <c r="K20" s="459"/>
    </row>
    <row r="21" spans="1:11" ht="30" customHeight="1" x14ac:dyDescent="0.25">
      <c r="B21" s="461" t="s">
        <v>7</v>
      </c>
      <c r="C21" s="461"/>
      <c r="D21" s="3">
        <v>625</v>
      </c>
      <c r="E21" s="3">
        <v>250</v>
      </c>
      <c r="F21" s="3">
        <v>200</v>
      </c>
      <c r="G21" s="3" t="s">
        <v>11</v>
      </c>
      <c r="H21" s="3">
        <v>42</v>
      </c>
      <c r="I21" s="8" t="s">
        <v>1034</v>
      </c>
      <c r="J21" s="20">
        <v>4440</v>
      </c>
      <c r="K21" s="20">
        <v>5200</v>
      </c>
    </row>
    <row r="22" spans="1:11" ht="30" customHeight="1" x14ac:dyDescent="0.25">
      <c r="B22" s="460" t="s">
        <v>22</v>
      </c>
      <c r="C22" s="460"/>
      <c r="D22" s="10">
        <v>625</v>
      </c>
      <c r="E22" s="10">
        <v>250</v>
      </c>
      <c r="F22" s="10">
        <v>250</v>
      </c>
      <c r="G22" s="10" t="s">
        <v>12</v>
      </c>
      <c r="H22" s="10">
        <v>36</v>
      </c>
      <c r="I22" s="6" t="s">
        <v>1035</v>
      </c>
      <c r="J22" s="21">
        <v>4470</v>
      </c>
      <c r="K22" s="21">
        <v>5200</v>
      </c>
    </row>
    <row r="23" spans="1:11" ht="30" customHeight="1" x14ac:dyDescent="0.25">
      <c r="B23" s="9" t="s">
        <v>17</v>
      </c>
      <c r="C23" s="8" t="s">
        <v>8</v>
      </c>
      <c r="D23" s="3">
        <v>625</v>
      </c>
      <c r="E23" s="3">
        <v>250</v>
      </c>
      <c r="F23" s="3">
        <v>300</v>
      </c>
      <c r="G23" s="3" t="s">
        <v>12</v>
      </c>
      <c r="H23" s="3">
        <v>30</v>
      </c>
      <c r="I23" s="8" t="s">
        <v>1035</v>
      </c>
      <c r="J23" s="20">
        <v>4510</v>
      </c>
      <c r="K23" s="20">
        <v>5200</v>
      </c>
    </row>
    <row r="24" spans="1:11" ht="30" customHeight="1" x14ac:dyDescent="0.25">
      <c r="B24" s="6" t="s">
        <v>15</v>
      </c>
      <c r="C24" s="6" t="s">
        <v>19</v>
      </c>
      <c r="D24" s="10">
        <v>625</v>
      </c>
      <c r="E24" s="10">
        <v>250</v>
      </c>
      <c r="F24" s="10">
        <v>375</v>
      </c>
      <c r="G24" s="10" t="s">
        <v>12</v>
      </c>
      <c r="H24" s="10">
        <v>24</v>
      </c>
      <c r="I24" s="6" t="s">
        <v>1035</v>
      </c>
      <c r="J24" s="21">
        <v>4710</v>
      </c>
      <c r="K24" s="21">
        <v>5200</v>
      </c>
    </row>
    <row r="25" spans="1:11" x14ac:dyDescent="0.25">
      <c r="A25" s="459"/>
      <c r="B25" s="459"/>
      <c r="C25" s="459"/>
      <c r="D25" s="459"/>
      <c r="E25" s="459"/>
      <c r="F25" s="459"/>
      <c r="G25" s="459"/>
      <c r="H25" s="459"/>
      <c r="I25" s="459"/>
      <c r="J25" s="459"/>
      <c r="K25" s="459"/>
    </row>
    <row r="26" spans="1:11" ht="30" customHeight="1" x14ac:dyDescent="0.25">
      <c r="B26" s="461" t="s">
        <v>7</v>
      </c>
      <c r="C26" s="461"/>
      <c r="D26" s="1">
        <v>625</v>
      </c>
      <c r="E26" s="1">
        <v>250</v>
      </c>
      <c r="F26" s="1">
        <v>75</v>
      </c>
      <c r="G26" s="1" t="s">
        <v>12</v>
      </c>
      <c r="H26" s="1">
        <v>120</v>
      </c>
      <c r="I26" s="8" t="s">
        <v>1035</v>
      </c>
      <c r="J26" s="20">
        <v>4740</v>
      </c>
      <c r="K26" s="20">
        <v>5200</v>
      </c>
    </row>
    <row r="27" spans="1:11" ht="30" customHeight="1" x14ac:dyDescent="0.25">
      <c r="B27" s="460" t="s">
        <v>24</v>
      </c>
      <c r="C27" s="460"/>
      <c r="D27" s="1">
        <v>625</v>
      </c>
      <c r="E27" s="1">
        <v>250</v>
      </c>
      <c r="F27" s="1">
        <v>100</v>
      </c>
      <c r="G27" s="1" t="s">
        <v>12</v>
      </c>
      <c r="H27" s="1">
        <v>90</v>
      </c>
      <c r="I27" s="6" t="s">
        <v>1035</v>
      </c>
      <c r="J27" s="21">
        <v>4710</v>
      </c>
      <c r="K27" s="21">
        <v>5200</v>
      </c>
    </row>
    <row r="28" spans="1:11" ht="30" customHeight="1" x14ac:dyDescent="0.25">
      <c r="B28" s="9" t="s">
        <v>17</v>
      </c>
      <c r="C28" s="8" t="s">
        <v>8</v>
      </c>
      <c r="D28" s="1">
        <v>625</v>
      </c>
      <c r="E28" s="1">
        <v>250</v>
      </c>
      <c r="F28" s="1">
        <v>150</v>
      </c>
      <c r="G28" s="1" t="s">
        <v>12</v>
      </c>
      <c r="H28" s="1">
        <v>60</v>
      </c>
      <c r="I28" s="8" t="s">
        <v>1035</v>
      </c>
      <c r="J28" s="20">
        <v>4690</v>
      </c>
      <c r="K28" s="20">
        <v>5200</v>
      </c>
    </row>
    <row r="29" spans="1:11" ht="30" customHeight="1" x14ac:dyDescent="0.25">
      <c r="B29" s="6" t="s">
        <v>15</v>
      </c>
      <c r="C29" s="6" t="s">
        <v>19</v>
      </c>
      <c r="D29" s="3"/>
      <c r="E29" s="3"/>
      <c r="F29" s="3"/>
      <c r="G29" s="3"/>
      <c r="H29" s="3"/>
      <c r="I29" s="6"/>
      <c r="J29" s="10"/>
      <c r="K29" s="10"/>
    </row>
    <row r="30" spans="1:11" x14ac:dyDescent="0.25">
      <c r="A30" s="459"/>
      <c r="B30" s="459"/>
      <c r="C30" s="459"/>
      <c r="D30" s="459"/>
      <c r="E30" s="459"/>
      <c r="F30" s="459"/>
      <c r="G30" s="459"/>
      <c r="H30" s="459"/>
      <c r="I30" s="459"/>
      <c r="J30" s="459"/>
      <c r="K30" s="459"/>
    </row>
    <row r="31" spans="1:11" ht="30" customHeight="1" x14ac:dyDescent="0.25">
      <c r="B31" s="461" t="s">
        <v>9</v>
      </c>
      <c r="C31" s="461"/>
      <c r="D31" s="3">
        <v>625</v>
      </c>
      <c r="E31" s="3">
        <v>250</v>
      </c>
      <c r="F31" s="3">
        <v>100</v>
      </c>
      <c r="G31" s="3" t="s">
        <v>12</v>
      </c>
      <c r="H31" s="3">
        <v>90</v>
      </c>
      <c r="I31" s="8" t="s">
        <v>1036</v>
      </c>
      <c r="J31" s="20">
        <v>4910</v>
      </c>
      <c r="K31" s="20">
        <v>5400</v>
      </c>
    </row>
    <row r="32" spans="1:11" ht="30" customHeight="1" x14ac:dyDescent="0.25">
      <c r="B32" s="460" t="s">
        <v>25</v>
      </c>
      <c r="C32" s="460"/>
      <c r="D32" s="10">
        <v>625</v>
      </c>
      <c r="E32" s="10">
        <v>250</v>
      </c>
      <c r="F32" s="10">
        <v>150</v>
      </c>
      <c r="G32" s="10" t="s">
        <v>12</v>
      </c>
      <c r="H32" s="10">
        <v>60</v>
      </c>
      <c r="I32" s="6" t="s">
        <v>1036</v>
      </c>
      <c r="J32" s="21">
        <v>5040</v>
      </c>
      <c r="K32" s="21">
        <v>5400</v>
      </c>
    </row>
    <row r="33" spans="1:11" ht="30" customHeight="1" x14ac:dyDescent="0.25">
      <c r="B33" s="9" t="s">
        <v>17</v>
      </c>
      <c r="C33" s="8" t="s">
        <v>10</v>
      </c>
      <c r="D33" s="3">
        <v>625</v>
      </c>
      <c r="E33" s="3">
        <v>250</v>
      </c>
      <c r="F33" s="3">
        <v>200</v>
      </c>
      <c r="G33" s="3" t="s">
        <v>11</v>
      </c>
      <c r="H33" s="3">
        <v>42</v>
      </c>
      <c r="I33" s="8" t="s">
        <v>1037</v>
      </c>
      <c r="J33" s="20">
        <v>4800</v>
      </c>
      <c r="K33" s="20">
        <v>5400</v>
      </c>
    </row>
    <row r="34" spans="1:11" ht="30" customHeight="1" x14ac:dyDescent="0.25">
      <c r="B34" s="6" t="s">
        <v>15</v>
      </c>
      <c r="C34" s="6" t="s">
        <v>26</v>
      </c>
      <c r="D34" s="10">
        <v>625</v>
      </c>
      <c r="E34" s="10">
        <v>250</v>
      </c>
      <c r="F34" s="10">
        <v>250</v>
      </c>
      <c r="G34" s="10" t="s">
        <v>12</v>
      </c>
      <c r="H34" s="10">
        <v>36</v>
      </c>
      <c r="I34" s="6" t="s">
        <v>1036</v>
      </c>
      <c r="J34" s="21">
        <v>5130</v>
      </c>
      <c r="K34" s="21">
        <v>5400</v>
      </c>
    </row>
    <row r="35" spans="1:11" ht="30" customHeight="1" x14ac:dyDescent="0.25">
      <c r="B35" s="12"/>
      <c r="C35" s="12"/>
      <c r="D35" s="13">
        <v>625</v>
      </c>
      <c r="E35" s="13">
        <v>250</v>
      </c>
      <c r="F35" s="13">
        <v>300</v>
      </c>
      <c r="G35" s="13" t="s">
        <v>12</v>
      </c>
      <c r="H35" s="13">
        <v>30</v>
      </c>
      <c r="I35" s="398" t="s">
        <v>1036</v>
      </c>
      <c r="J35" s="20">
        <v>4910</v>
      </c>
      <c r="K35" s="20">
        <v>5400</v>
      </c>
    </row>
    <row r="36" spans="1:11" x14ac:dyDescent="0.25">
      <c r="A36" s="459"/>
      <c r="B36" s="459"/>
      <c r="C36" s="459"/>
      <c r="D36" s="459"/>
      <c r="E36" s="459"/>
      <c r="F36" s="459"/>
      <c r="G36" s="459"/>
      <c r="H36" s="459"/>
      <c r="I36" s="459"/>
      <c r="J36" s="459"/>
      <c r="K36" s="459"/>
    </row>
  </sheetData>
  <mergeCells count="23">
    <mergeCell ref="K9:K10"/>
    <mergeCell ref="A15:K15"/>
    <mergeCell ref="A20:K20"/>
    <mergeCell ref="A25:K25"/>
    <mergeCell ref="A30:K30"/>
    <mergeCell ref="B9:C10"/>
    <mergeCell ref="B12:C12"/>
    <mergeCell ref="A9:A10"/>
    <mergeCell ref="B16:C16"/>
    <mergeCell ref="B11:C11"/>
    <mergeCell ref="D9:F9"/>
    <mergeCell ref="G9:G10"/>
    <mergeCell ref="H9:H10"/>
    <mergeCell ref="J9:J10"/>
    <mergeCell ref="I9:I10"/>
    <mergeCell ref="A36:K36"/>
    <mergeCell ref="B32:C32"/>
    <mergeCell ref="B17:C17"/>
    <mergeCell ref="B21:C21"/>
    <mergeCell ref="B22:C22"/>
    <mergeCell ref="B26:C26"/>
    <mergeCell ref="B27:C27"/>
    <mergeCell ref="B31:C31"/>
  </mergeCells>
  <hyperlinks>
    <hyperlink ref="B7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3:K36"/>
  <sheetViews>
    <sheetView workbookViewId="0">
      <selection activeCell="D3" sqref="D3"/>
    </sheetView>
  </sheetViews>
  <sheetFormatPr defaultRowHeight="15" x14ac:dyDescent="0.25"/>
  <cols>
    <col min="1" max="1" width="31" customWidth="1"/>
    <col min="2" max="2" width="28.42578125" bestFit="1" customWidth="1"/>
    <col min="3" max="3" width="10" bestFit="1" customWidth="1"/>
    <col min="4" max="4" width="11.42578125" bestFit="1" customWidth="1"/>
    <col min="5" max="5" width="26.140625" customWidth="1"/>
    <col min="6" max="6" width="13.28515625" bestFit="1" customWidth="1"/>
    <col min="7" max="7" width="14.28515625" customWidth="1"/>
    <col min="8" max="8" width="13.85546875" customWidth="1"/>
    <col min="9" max="9" width="25.140625" customWidth="1"/>
    <col min="10" max="11" width="17.42578125" customWidth="1"/>
    <col min="12" max="12" width="18.5703125" customWidth="1"/>
  </cols>
  <sheetData>
    <row r="3" spans="1:11" ht="23.25" x14ac:dyDescent="0.35">
      <c r="D3" s="14" t="s">
        <v>32</v>
      </c>
    </row>
    <row r="5" spans="1:11" ht="21" x14ac:dyDescent="0.35">
      <c r="D5" s="16" t="s">
        <v>28</v>
      </c>
    </row>
    <row r="6" spans="1:11" ht="18.75" x14ac:dyDescent="0.3">
      <c r="A6" s="25" t="s">
        <v>745</v>
      </c>
      <c r="D6" s="15" t="s">
        <v>33</v>
      </c>
    </row>
    <row r="7" spans="1:11" ht="18.75" x14ac:dyDescent="0.3">
      <c r="B7" s="265" t="s">
        <v>29</v>
      </c>
      <c r="D7" s="15" t="s">
        <v>30</v>
      </c>
    </row>
    <row r="8" spans="1:11" ht="18.75" x14ac:dyDescent="0.3">
      <c r="D8" s="15"/>
      <c r="H8" t="s">
        <v>119</v>
      </c>
    </row>
    <row r="9" spans="1:11" ht="30" customHeight="1" x14ac:dyDescent="0.25">
      <c r="A9" s="462" t="s">
        <v>18</v>
      </c>
      <c r="B9" s="462" t="s">
        <v>0</v>
      </c>
      <c r="C9" s="462"/>
      <c r="D9" s="462" t="s">
        <v>1</v>
      </c>
      <c r="E9" s="462"/>
      <c r="F9" s="462"/>
      <c r="G9" s="462" t="s">
        <v>13</v>
      </c>
      <c r="H9" s="462" t="s">
        <v>23</v>
      </c>
      <c r="I9" s="462" t="s">
        <v>14</v>
      </c>
      <c r="J9" s="462" t="s">
        <v>37</v>
      </c>
      <c r="K9" s="462" t="s">
        <v>38</v>
      </c>
    </row>
    <row r="10" spans="1:11" ht="30" customHeight="1" x14ac:dyDescent="0.25">
      <c r="A10" s="462"/>
      <c r="B10" s="462"/>
      <c r="C10" s="462"/>
      <c r="D10" s="7" t="s">
        <v>2</v>
      </c>
      <c r="E10" s="7" t="s">
        <v>3</v>
      </c>
      <c r="F10" s="7" t="s">
        <v>4</v>
      </c>
      <c r="G10" s="462"/>
      <c r="H10" s="462"/>
      <c r="I10" s="462"/>
      <c r="J10" s="462"/>
      <c r="K10" s="462"/>
    </row>
    <row r="11" spans="1:11" ht="30" customHeight="1" x14ac:dyDescent="0.25">
      <c r="B11" s="464" t="s">
        <v>34</v>
      </c>
      <c r="C11" s="464"/>
      <c r="D11" s="4">
        <v>600</v>
      </c>
      <c r="E11" s="4">
        <v>250</v>
      </c>
      <c r="F11" s="4">
        <v>100</v>
      </c>
      <c r="G11" s="4">
        <v>1.8</v>
      </c>
      <c r="H11" s="4">
        <v>120</v>
      </c>
      <c r="I11" s="4" t="s">
        <v>50</v>
      </c>
      <c r="J11" s="22">
        <v>3800</v>
      </c>
      <c r="K11" s="22">
        <v>3930</v>
      </c>
    </row>
    <row r="12" spans="1:11" ht="30" customHeight="1" x14ac:dyDescent="0.25">
      <c r="B12" s="460" t="s">
        <v>20</v>
      </c>
      <c r="C12" s="460"/>
      <c r="D12" s="6">
        <v>600</v>
      </c>
      <c r="E12" s="6">
        <v>250</v>
      </c>
      <c r="F12" s="6">
        <v>150</v>
      </c>
      <c r="G12" s="6">
        <v>1.8</v>
      </c>
      <c r="H12" s="6">
        <v>80</v>
      </c>
      <c r="I12" s="6" t="s">
        <v>50</v>
      </c>
      <c r="J12" s="23">
        <v>3800</v>
      </c>
      <c r="K12" s="23">
        <v>3930</v>
      </c>
    </row>
    <row r="13" spans="1:11" ht="30" customHeight="1" x14ac:dyDescent="0.25">
      <c r="B13" s="5" t="s">
        <v>17</v>
      </c>
      <c r="C13" s="4" t="s">
        <v>6</v>
      </c>
      <c r="D13" s="4">
        <v>600</v>
      </c>
      <c r="E13" s="4">
        <v>250</v>
      </c>
      <c r="F13" s="4">
        <v>200</v>
      </c>
      <c r="G13" s="4">
        <v>1.68</v>
      </c>
      <c r="H13" s="4">
        <v>56</v>
      </c>
      <c r="I13" s="4" t="s">
        <v>51</v>
      </c>
      <c r="J13" s="22">
        <v>3750</v>
      </c>
      <c r="K13" s="22">
        <v>3930</v>
      </c>
    </row>
    <row r="14" spans="1:11" ht="30" customHeight="1" x14ac:dyDescent="0.25">
      <c r="B14" s="6" t="s">
        <v>15</v>
      </c>
      <c r="C14" s="6" t="s">
        <v>1038</v>
      </c>
      <c r="D14" s="6">
        <v>600</v>
      </c>
      <c r="E14" s="6">
        <v>250</v>
      </c>
      <c r="F14" s="6">
        <v>300</v>
      </c>
      <c r="G14" s="6">
        <v>1.8</v>
      </c>
      <c r="H14" s="6">
        <v>40</v>
      </c>
      <c r="I14" s="6" t="s">
        <v>50</v>
      </c>
      <c r="J14" s="23">
        <v>3750</v>
      </c>
      <c r="K14" s="23">
        <v>3930</v>
      </c>
    </row>
    <row r="15" spans="1:11" ht="30" customHeight="1" x14ac:dyDescent="0.25">
      <c r="B15" s="4"/>
      <c r="C15" s="4"/>
      <c r="D15" s="4">
        <v>600</v>
      </c>
      <c r="E15" s="4">
        <v>200</v>
      </c>
      <c r="F15" s="4">
        <v>300</v>
      </c>
      <c r="G15" s="4">
        <v>1.8</v>
      </c>
      <c r="H15" s="4">
        <v>50</v>
      </c>
      <c r="I15" s="4" t="s">
        <v>50</v>
      </c>
      <c r="J15" s="22">
        <v>3750</v>
      </c>
      <c r="K15" s="22">
        <v>3830</v>
      </c>
    </row>
    <row r="16" spans="1:11" ht="30" customHeight="1" x14ac:dyDescent="0.25">
      <c r="B16" s="8"/>
      <c r="C16" s="8"/>
      <c r="D16" s="6">
        <v>600</v>
      </c>
      <c r="E16" s="6">
        <v>250</v>
      </c>
      <c r="F16" s="6">
        <v>375</v>
      </c>
      <c r="G16" s="6">
        <v>1.8</v>
      </c>
      <c r="H16" s="6">
        <v>32</v>
      </c>
      <c r="I16" s="6" t="s">
        <v>50</v>
      </c>
      <c r="J16" s="23">
        <v>3750</v>
      </c>
      <c r="K16" s="23">
        <v>3930</v>
      </c>
    </row>
    <row r="17" spans="1:11" ht="30" customHeight="1" x14ac:dyDescent="0.25">
      <c r="B17" s="8"/>
      <c r="C17" s="8"/>
      <c r="D17" s="4">
        <v>600</v>
      </c>
      <c r="E17" s="4">
        <v>250</v>
      </c>
      <c r="F17" s="4">
        <v>400</v>
      </c>
      <c r="G17" s="4">
        <v>1.92</v>
      </c>
      <c r="H17" s="4">
        <v>32</v>
      </c>
      <c r="I17" s="4" t="s">
        <v>52</v>
      </c>
      <c r="J17" s="22">
        <v>3750</v>
      </c>
      <c r="K17" s="22">
        <v>3930</v>
      </c>
    </row>
    <row r="18" spans="1:11" ht="30" customHeight="1" x14ac:dyDescent="0.25">
      <c r="B18" s="4"/>
      <c r="C18" s="4"/>
      <c r="D18" s="4">
        <v>600</v>
      </c>
      <c r="E18" s="4">
        <v>250</v>
      </c>
      <c r="F18" s="4">
        <v>500</v>
      </c>
      <c r="G18" s="4">
        <v>1.8</v>
      </c>
      <c r="H18" s="4">
        <v>24</v>
      </c>
      <c r="I18" s="4" t="s">
        <v>50</v>
      </c>
      <c r="J18" s="22">
        <v>3750</v>
      </c>
      <c r="K18" s="22">
        <v>3930</v>
      </c>
    </row>
    <row r="19" spans="1:11" x14ac:dyDescent="0.25">
      <c r="A19" s="459"/>
      <c r="B19" s="459"/>
      <c r="C19" s="459"/>
      <c r="D19" s="459"/>
      <c r="E19" s="459"/>
      <c r="F19" s="459"/>
      <c r="G19" s="459"/>
      <c r="H19" s="459"/>
      <c r="I19" s="459"/>
      <c r="J19" s="459"/>
      <c r="K19" s="459"/>
    </row>
    <row r="20" spans="1:11" ht="30" customHeight="1" x14ac:dyDescent="0.25">
      <c r="B20" s="461" t="s">
        <v>35</v>
      </c>
      <c r="C20" s="461"/>
      <c r="D20" s="4">
        <v>600</v>
      </c>
      <c r="E20" s="4">
        <v>250</v>
      </c>
      <c r="F20" s="4">
        <v>100</v>
      </c>
      <c r="G20" s="4">
        <v>1.8</v>
      </c>
      <c r="H20" s="4">
        <v>120</v>
      </c>
      <c r="I20" s="4" t="s">
        <v>50</v>
      </c>
      <c r="J20" s="22">
        <v>3800</v>
      </c>
      <c r="K20" s="22">
        <v>3930</v>
      </c>
    </row>
    <row r="21" spans="1:11" ht="30" customHeight="1" x14ac:dyDescent="0.25">
      <c r="B21" s="460" t="s">
        <v>1039</v>
      </c>
      <c r="C21" s="460"/>
      <c r="D21" s="6">
        <v>600</v>
      </c>
      <c r="E21" s="6">
        <v>250</v>
      </c>
      <c r="F21" s="6">
        <v>150</v>
      </c>
      <c r="G21" s="6">
        <v>1.8</v>
      </c>
      <c r="H21" s="6">
        <v>80</v>
      </c>
      <c r="I21" s="6" t="s">
        <v>50</v>
      </c>
      <c r="J21" s="23">
        <v>3800</v>
      </c>
      <c r="K21" s="23">
        <v>3930</v>
      </c>
    </row>
    <row r="22" spans="1:11" ht="30" customHeight="1" x14ac:dyDescent="0.25">
      <c r="B22" s="9" t="s">
        <v>17</v>
      </c>
      <c r="C22" s="8" t="s">
        <v>8</v>
      </c>
      <c r="D22" s="4">
        <v>600</v>
      </c>
      <c r="E22" s="4">
        <v>250</v>
      </c>
      <c r="F22" s="4">
        <v>200</v>
      </c>
      <c r="G22" s="4">
        <v>1.68</v>
      </c>
      <c r="H22" s="4">
        <v>56</v>
      </c>
      <c r="I22" s="4" t="s">
        <v>51</v>
      </c>
      <c r="J22" s="22">
        <v>3750</v>
      </c>
      <c r="K22" s="22">
        <v>3930</v>
      </c>
    </row>
    <row r="23" spans="1:11" ht="30" customHeight="1" x14ac:dyDescent="0.25">
      <c r="B23" s="6" t="s">
        <v>15</v>
      </c>
      <c r="C23" s="6" t="s">
        <v>16</v>
      </c>
      <c r="D23" s="6">
        <v>600</v>
      </c>
      <c r="E23" s="6">
        <v>250</v>
      </c>
      <c r="F23" s="6">
        <v>300</v>
      </c>
      <c r="G23" s="6">
        <v>1.8</v>
      </c>
      <c r="H23" s="6">
        <v>40</v>
      </c>
      <c r="I23" s="6" t="s">
        <v>50</v>
      </c>
      <c r="J23" s="23">
        <v>3750</v>
      </c>
      <c r="K23" s="23">
        <v>3930</v>
      </c>
    </row>
    <row r="24" spans="1:11" ht="30" customHeight="1" x14ac:dyDescent="0.25">
      <c r="B24" s="4"/>
      <c r="C24" s="4"/>
      <c r="D24" s="4">
        <v>600</v>
      </c>
      <c r="E24" s="4">
        <v>200</v>
      </c>
      <c r="F24" s="4">
        <v>300</v>
      </c>
      <c r="G24" s="4">
        <v>1.8</v>
      </c>
      <c r="H24" s="4">
        <v>50</v>
      </c>
      <c r="I24" s="4" t="s">
        <v>50</v>
      </c>
      <c r="J24" s="22">
        <v>3750</v>
      </c>
      <c r="K24" s="22">
        <v>3930</v>
      </c>
    </row>
    <row r="25" spans="1:11" ht="30" customHeight="1" x14ac:dyDescent="0.25">
      <c r="B25" s="6"/>
      <c r="C25" s="6"/>
      <c r="D25" s="6">
        <v>600</v>
      </c>
      <c r="E25" s="6">
        <v>250</v>
      </c>
      <c r="F25" s="6">
        <v>375</v>
      </c>
      <c r="G25" s="6">
        <v>1.8</v>
      </c>
      <c r="H25" s="6">
        <v>32</v>
      </c>
      <c r="I25" s="6" t="s">
        <v>50</v>
      </c>
      <c r="J25" s="23">
        <v>3750</v>
      </c>
      <c r="K25" s="23">
        <v>3930</v>
      </c>
    </row>
    <row r="26" spans="1:11" ht="30" customHeight="1" x14ac:dyDescent="0.25">
      <c r="B26" s="6"/>
      <c r="C26" s="6"/>
      <c r="D26" s="4">
        <v>600</v>
      </c>
      <c r="E26" s="4">
        <v>250</v>
      </c>
      <c r="F26" s="4">
        <v>400</v>
      </c>
      <c r="G26" s="4">
        <v>1.92</v>
      </c>
      <c r="H26" s="4">
        <v>32</v>
      </c>
      <c r="I26" s="4" t="s">
        <v>52</v>
      </c>
      <c r="J26" s="22">
        <v>3750</v>
      </c>
      <c r="K26" s="22">
        <v>3930</v>
      </c>
    </row>
    <row r="27" spans="1:11" ht="30" customHeight="1" x14ac:dyDescent="0.25">
      <c r="B27" s="4"/>
      <c r="C27" s="4"/>
      <c r="D27" s="4">
        <v>600</v>
      </c>
      <c r="E27" s="4">
        <v>250</v>
      </c>
      <c r="F27" s="4">
        <v>500</v>
      </c>
      <c r="G27" s="4">
        <v>1.8</v>
      </c>
      <c r="H27" s="4">
        <v>24</v>
      </c>
      <c r="I27" s="4" t="s">
        <v>50</v>
      </c>
      <c r="J27" s="22">
        <v>3750</v>
      </c>
      <c r="K27" s="22">
        <v>3930</v>
      </c>
    </row>
    <row r="28" spans="1:11" x14ac:dyDescent="0.25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</row>
    <row r="29" spans="1:11" ht="30" customHeight="1" x14ac:dyDescent="0.25">
      <c r="B29" s="461" t="s">
        <v>36</v>
      </c>
      <c r="C29" s="461"/>
      <c r="D29" s="4">
        <v>600</v>
      </c>
      <c r="E29" s="4">
        <v>250</v>
      </c>
      <c r="F29" s="4">
        <v>100</v>
      </c>
      <c r="G29" s="4">
        <v>1.8</v>
      </c>
      <c r="H29" s="4">
        <v>120</v>
      </c>
      <c r="I29" s="8" t="s">
        <v>54</v>
      </c>
      <c r="J29" s="22">
        <v>3900</v>
      </c>
      <c r="K29" s="22">
        <v>4070</v>
      </c>
    </row>
    <row r="30" spans="1:11" ht="30" customHeight="1" x14ac:dyDescent="0.25">
      <c r="B30" s="460" t="s">
        <v>1040</v>
      </c>
      <c r="C30" s="460"/>
      <c r="D30" s="6">
        <v>600</v>
      </c>
      <c r="E30" s="6">
        <v>250</v>
      </c>
      <c r="F30" s="6">
        <v>150</v>
      </c>
      <c r="G30" s="6">
        <v>1.8</v>
      </c>
      <c r="H30" s="6">
        <v>80</v>
      </c>
      <c r="I30" s="6" t="s">
        <v>54</v>
      </c>
      <c r="J30" s="23">
        <v>3900</v>
      </c>
      <c r="K30" s="23">
        <v>4070</v>
      </c>
    </row>
    <row r="31" spans="1:11" ht="30" customHeight="1" x14ac:dyDescent="0.25">
      <c r="B31" s="9" t="s">
        <v>17</v>
      </c>
      <c r="C31" s="8" t="s">
        <v>10</v>
      </c>
      <c r="D31" s="4">
        <v>600</v>
      </c>
      <c r="E31" s="4">
        <v>250</v>
      </c>
      <c r="F31" s="4">
        <v>200</v>
      </c>
      <c r="G31" s="4">
        <v>1.68</v>
      </c>
      <c r="H31" s="4">
        <v>56</v>
      </c>
      <c r="I31" s="8" t="s">
        <v>53</v>
      </c>
      <c r="J31" s="22">
        <v>3850</v>
      </c>
      <c r="K31" s="22">
        <v>4070</v>
      </c>
    </row>
    <row r="32" spans="1:11" ht="30" customHeight="1" x14ac:dyDescent="0.25">
      <c r="B32" s="6" t="s">
        <v>15</v>
      </c>
      <c r="C32" s="6" t="s">
        <v>19</v>
      </c>
      <c r="D32" s="6">
        <v>600</v>
      </c>
      <c r="E32" s="6">
        <v>250</v>
      </c>
      <c r="F32" s="6">
        <v>300</v>
      </c>
      <c r="G32" s="6">
        <v>1.8</v>
      </c>
      <c r="H32" s="6">
        <v>40</v>
      </c>
      <c r="I32" s="6" t="s">
        <v>54</v>
      </c>
      <c r="J32" s="23">
        <v>3850</v>
      </c>
      <c r="K32" s="23">
        <v>4070</v>
      </c>
    </row>
    <row r="33" spans="1:11" ht="30" customHeight="1" x14ac:dyDescent="0.25">
      <c r="B33" s="399"/>
      <c r="C33" s="399"/>
      <c r="D33" s="6">
        <v>600</v>
      </c>
      <c r="E33" s="6">
        <v>200</v>
      </c>
      <c r="F33" s="6">
        <v>300</v>
      </c>
      <c r="G33" s="6">
        <v>1.8</v>
      </c>
      <c r="H33" s="6">
        <v>50</v>
      </c>
      <c r="I33" s="399" t="s">
        <v>54</v>
      </c>
      <c r="J33" s="23">
        <v>3850</v>
      </c>
      <c r="K33" s="23">
        <v>4070</v>
      </c>
    </row>
    <row r="34" spans="1:11" ht="30" customHeight="1" x14ac:dyDescent="0.25">
      <c r="B34" s="12"/>
      <c r="C34" s="12"/>
      <c r="D34" s="8">
        <v>600</v>
      </c>
      <c r="E34" s="4">
        <v>250</v>
      </c>
      <c r="F34" s="8">
        <v>375</v>
      </c>
      <c r="G34" s="8">
        <v>1.8</v>
      </c>
      <c r="H34" s="8">
        <v>32</v>
      </c>
      <c r="I34" s="12" t="s">
        <v>55</v>
      </c>
      <c r="J34" s="24">
        <v>3850</v>
      </c>
      <c r="K34" s="24">
        <v>4070</v>
      </c>
    </row>
    <row r="35" spans="1:11" ht="30" customHeight="1" x14ac:dyDescent="0.25">
      <c r="B35" s="12"/>
      <c r="C35" s="12"/>
      <c r="D35" s="6">
        <v>600</v>
      </c>
      <c r="E35" s="6">
        <v>250</v>
      </c>
      <c r="F35" s="6">
        <v>400</v>
      </c>
      <c r="G35" s="6">
        <v>1.92</v>
      </c>
      <c r="H35" s="6">
        <v>32</v>
      </c>
      <c r="I35" s="12" t="s">
        <v>55</v>
      </c>
      <c r="J35" s="23">
        <v>3850</v>
      </c>
      <c r="K35" s="23">
        <v>4070</v>
      </c>
    </row>
    <row r="36" spans="1:11" x14ac:dyDescent="0.25">
      <c r="A36" s="459"/>
      <c r="B36" s="459"/>
      <c r="C36" s="459"/>
      <c r="D36" s="459"/>
      <c r="E36" s="459"/>
      <c r="F36" s="459"/>
      <c r="G36" s="459"/>
      <c r="H36" s="459"/>
      <c r="I36" s="459"/>
      <c r="J36" s="459"/>
      <c r="K36" s="459"/>
    </row>
  </sheetData>
  <mergeCells count="17">
    <mergeCell ref="B29:C29"/>
    <mergeCell ref="B30:C30"/>
    <mergeCell ref="A36:K36"/>
    <mergeCell ref="A19:K19"/>
    <mergeCell ref="B20:C20"/>
    <mergeCell ref="B21:C21"/>
    <mergeCell ref="A28:K28"/>
    <mergeCell ref="J9:J10"/>
    <mergeCell ref="K9:K10"/>
    <mergeCell ref="B11:C11"/>
    <mergeCell ref="B12:C12"/>
    <mergeCell ref="A9:A10"/>
    <mergeCell ref="B9:C10"/>
    <mergeCell ref="D9:F9"/>
    <mergeCell ref="G9:G10"/>
    <mergeCell ref="H9:H10"/>
    <mergeCell ref="I9:I10"/>
  </mergeCells>
  <hyperlinks>
    <hyperlink ref="B7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3:K35"/>
  <sheetViews>
    <sheetView workbookViewId="0">
      <selection activeCell="D3" sqref="D3"/>
    </sheetView>
  </sheetViews>
  <sheetFormatPr defaultRowHeight="15" x14ac:dyDescent="0.25"/>
  <cols>
    <col min="1" max="1" width="31" customWidth="1"/>
    <col min="2" max="2" width="28.42578125" bestFit="1" customWidth="1"/>
    <col min="3" max="3" width="10" bestFit="1" customWidth="1"/>
    <col min="4" max="4" width="11.42578125" bestFit="1" customWidth="1"/>
    <col min="5" max="5" width="27.140625" customWidth="1"/>
    <col min="6" max="6" width="13.28515625" bestFit="1" customWidth="1"/>
    <col min="7" max="7" width="14.28515625" customWidth="1"/>
    <col min="8" max="8" width="13.85546875" customWidth="1"/>
    <col min="9" max="9" width="25.140625" customWidth="1"/>
    <col min="10" max="11" width="17.42578125" customWidth="1"/>
    <col min="12" max="12" width="18.5703125" customWidth="1"/>
  </cols>
  <sheetData>
    <row r="3" spans="1:11" ht="23.25" x14ac:dyDescent="0.35">
      <c r="D3" s="14" t="s">
        <v>49</v>
      </c>
    </row>
    <row r="5" spans="1:11" ht="21" x14ac:dyDescent="0.35">
      <c r="D5" s="16" t="s">
        <v>28</v>
      </c>
    </row>
    <row r="6" spans="1:11" ht="18.75" x14ac:dyDescent="0.3">
      <c r="A6" s="25" t="s">
        <v>745</v>
      </c>
      <c r="D6" s="15" t="s">
        <v>42</v>
      </c>
    </row>
    <row r="7" spans="1:11" ht="18.75" x14ac:dyDescent="0.3">
      <c r="B7" s="265" t="s">
        <v>29</v>
      </c>
      <c r="D7" s="15" t="s">
        <v>30</v>
      </c>
    </row>
    <row r="8" spans="1:11" ht="18.75" x14ac:dyDescent="0.3">
      <c r="D8" s="15"/>
      <c r="H8" t="s">
        <v>119</v>
      </c>
    </row>
    <row r="9" spans="1:11" ht="30" customHeight="1" x14ac:dyDescent="0.25">
      <c r="A9" s="462" t="s">
        <v>18</v>
      </c>
      <c r="B9" s="462" t="s">
        <v>0</v>
      </c>
      <c r="C9" s="462"/>
      <c r="D9" s="462" t="s">
        <v>1</v>
      </c>
      <c r="E9" s="462"/>
      <c r="F9" s="462"/>
      <c r="G9" s="462" t="s">
        <v>13</v>
      </c>
      <c r="H9" s="462" t="s">
        <v>23</v>
      </c>
      <c r="I9" s="462" t="s">
        <v>14</v>
      </c>
      <c r="J9" s="462" t="s">
        <v>43</v>
      </c>
      <c r="K9" s="462" t="s">
        <v>38</v>
      </c>
    </row>
    <row r="10" spans="1:11" ht="30" customHeight="1" x14ac:dyDescent="0.25">
      <c r="A10" s="462"/>
      <c r="B10" s="462"/>
      <c r="C10" s="462"/>
      <c r="D10" s="19" t="s">
        <v>2</v>
      </c>
      <c r="E10" s="19" t="s">
        <v>3</v>
      </c>
      <c r="F10" s="19" t="s">
        <v>4</v>
      </c>
      <c r="G10" s="462"/>
      <c r="H10" s="462"/>
      <c r="I10" s="462"/>
      <c r="J10" s="462"/>
      <c r="K10" s="462"/>
    </row>
    <row r="11" spans="1:11" ht="30" customHeight="1" x14ac:dyDescent="0.25">
      <c r="B11" s="464" t="s">
        <v>40</v>
      </c>
      <c r="C11" s="464"/>
      <c r="D11" s="4">
        <v>600</v>
      </c>
      <c r="E11" s="4">
        <v>250</v>
      </c>
      <c r="F11" s="4">
        <v>200</v>
      </c>
      <c r="G11" s="4">
        <v>1.92</v>
      </c>
      <c r="H11" s="4">
        <v>64</v>
      </c>
      <c r="I11" s="4" t="s">
        <v>1044</v>
      </c>
      <c r="J11" s="22">
        <v>3450</v>
      </c>
      <c r="K11" s="22">
        <v>3800</v>
      </c>
    </row>
    <row r="12" spans="1:11" ht="30" customHeight="1" x14ac:dyDescent="0.25">
      <c r="B12" s="460" t="s">
        <v>20</v>
      </c>
      <c r="C12" s="460"/>
      <c r="D12" s="6">
        <v>600</v>
      </c>
      <c r="E12" s="6">
        <v>250</v>
      </c>
      <c r="F12" s="6">
        <v>250</v>
      </c>
      <c r="G12" s="6">
        <v>1.8</v>
      </c>
      <c r="H12" s="6">
        <v>48</v>
      </c>
      <c r="I12" s="6" t="s">
        <v>50</v>
      </c>
      <c r="J12" s="22">
        <v>3450</v>
      </c>
      <c r="K12" s="23">
        <v>3800</v>
      </c>
    </row>
    <row r="13" spans="1:11" ht="30" customHeight="1" x14ac:dyDescent="0.25">
      <c r="B13" s="5" t="s">
        <v>17</v>
      </c>
      <c r="C13" s="4" t="s">
        <v>6</v>
      </c>
      <c r="D13" s="4">
        <v>600</v>
      </c>
      <c r="E13" s="4">
        <v>250</v>
      </c>
      <c r="F13" s="4">
        <v>300</v>
      </c>
      <c r="G13" s="4">
        <v>1.8</v>
      </c>
      <c r="H13" s="4">
        <v>40</v>
      </c>
      <c r="I13" s="4" t="s">
        <v>50</v>
      </c>
      <c r="J13" s="22">
        <v>3450</v>
      </c>
      <c r="K13" s="22">
        <v>3800</v>
      </c>
    </row>
    <row r="14" spans="1:11" ht="30" customHeight="1" x14ac:dyDescent="0.25">
      <c r="B14" s="5"/>
      <c r="C14" s="4"/>
      <c r="D14" s="4">
        <v>600</v>
      </c>
      <c r="E14" s="4">
        <v>200</v>
      </c>
      <c r="F14" s="4">
        <v>300</v>
      </c>
      <c r="G14" s="4">
        <v>1.8</v>
      </c>
      <c r="H14" s="4">
        <v>50</v>
      </c>
      <c r="I14" s="4" t="s">
        <v>50</v>
      </c>
      <c r="J14" s="22">
        <v>3450</v>
      </c>
      <c r="K14" s="22">
        <v>3800</v>
      </c>
    </row>
    <row r="15" spans="1:11" ht="30" customHeight="1" x14ac:dyDescent="0.25">
      <c r="B15" s="6" t="s">
        <v>15</v>
      </c>
      <c r="C15" s="6" t="s">
        <v>16</v>
      </c>
      <c r="D15" s="6">
        <v>600</v>
      </c>
      <c r="E15" s="6">
        <v>250</v>
      </c>
      <c r="F15" s="6">
        <v>350</v>
      </c>
      <c r="G15" s="6">
        <v>1.68</v>
      </c>
      <c r="H15" s="6">
        <v>32</v>
      </c>
      <c r="I15" s="6" t="s">
        <v>1045</v>
      </c>
      <c r="J15" s="22">
        <v>3450</v>
      </c>
      <c r="K15" s="23">
        <v>3800</v>
      </c>
    </row>
    <row r="16" spans="1:11" ht="30" customHeight="1" x14ac:dyDescent="0.25">
      <c r="B16" s="5" t="s">
        <v>44</v>
      </c>
      <c r="C16" s="8" t="s">
        <v>45</v>
      </c>
      <c r="D16" s="4">
        <v>600</v>
      </c>
      <c r="E16" s="4">
        <v>250</v>
      </c>
      <c r="F16" s="8">
        <v>375</v>
      </c>
      <c r="G16" s="8">
        <v>1.8</v>
      </c>
      <c r="H16" s="8">
        <v>32</v>
      </c>
      <c r="I16" s="8" t="s">
        <v>50</v>
      </c>
      <c r="J16" s="22">
        <v>3450</v>
      </c>
      <c r="K16" s="24">
        <v>3800</v>
      </c>
    </row>
    <row r="17" spans="1:11" ht="30" customHeight="1" x14ac:dyDescent="0.25">
      <c r="B17" s="6" t="s">
        <v>46</v>
      </c>
      <c r="C17" s="6">
        <v>9.6000000000000002E-2</v>
      </c>
      <c r="D17" s="6">
        <v>600</v>
      </c>
      <c r="E17" s="6">
        <v>250</v>
      </c>
      <c r="F17" s="6">
        <v>400</v>
      </c>
      <c r="G17" s="6">
        <v>1.92</v>
      </c>
      <c r="H17" s="6">
        <v>32</v>
      </c>
      <c r="I17" s="6" t="s">
        <v>1044</v>
      </c>
      <c r="J17" s="22">
        <v>3450</v>
      </c>
      <c r="K17" s="23">
        <v>3800</v>
      </c>
    </row>
    <row r="18" spans="1:11" ht="30" customHeight="1" x14ac:dyDescent="0.25">
      <c r="B18" s="8"/>
      <c r="C18" s="8"/>
      <c r="D18" s="8">
        <v>600</v>
      </c>
      <c r="E18" s="8">
        <v>250</v>
      </c>
      <c r="F18" s="8">
        <v>500</v>
      </c>
      <c r="G18" s="8">
        <v>1.8</v>
      </c>
      <c r="H18" s="8">
        <v>24</v>
      </c>
      <c r="I18" s="8" t="s">
        <v>50</v>
      </c>
      <c r="J18" s="22">
        <v>3450</v>
      </c>
      <c r="K18" s="24">
        <v>3800</v>
      </c>
    </row>
    <row r="19" spans="1:11" x14ac:dyDescent="0.25">
      <c r="A19" s="459"/>
      <c r="B19" s="459"/>
      <c r="C19" s="459"/>
      <c r="D19" s="459"/>
      <c r="E19" s="459"/>
      <c r="F19" s="459"/>
      <c r="G19" s="459"/>
      <c r="H19" s="459"/>
      <c r="I19" s="459"/>
      <c r="J19" s="459"/>
      <c r="K19" s="459"/>
    </row>
    <row r="20" spans="1:11" ht="30" customHeight="1" x14ac:dyDescent="0.25">
      <c r="B20" s="461" t="s">
        <v>41</v>
      </c>
      <c r="C20" s="461"/>
      <c r="D20" s="4">
        <v>600</v>
      </c>
      <c r="E20" s="4">
        <v>250</v>
      </c>
      <c r="F20" s="4">
        <v>200</v>
      </c>
      <c r="G20" s="4">
        <v>1.92</v>
      </c>
      <c r="H20" s="4">
        <v>64</v>
      </c>
      <c r="I20" s="4" t="s">
        <v>1044</v>
      </c>
      <c r="J20" s="22">
        <v>3450</v>
      </c>
      <c r="K20" s="22">
        <v>3800</v>
      </c>
    </row>
    <row r="21" spans="1:11" ht="30" customHeight="1" x14ac:dyDescent="0.25">
      <c r="B21" s="460" t="s">
        <v>22</v>
      </c>
      <c r="C21" s="460"/>
      <c r="D21" s="6">
        <v>600</v>
      </c>
      <c r="E21" s="6">
        <v>250</v>
      </c>
      <c r="F21" s="6">
        <v>250</v>
      </c>
      <c r="G21" s="6">
        <v>1.8</v>
      </c>
      <c r="H21" s="6">
        <v>48</v>
      </c>
      <c r="I21" s="6" t="s">
        <v>50</v>
      </c>
      <c r="J21" s="23">
        <v>3450</v>
      </c>
      <c r="K21" s="23">
        <v>3800</v>
      </c>
    </row>
    <row r="22" spans="1:11" ht="30" customHeight="1" x14ac:dyDescent="0.25">
      <c r="B22" s="9" t="s">
        <v>17</v>
      </c>
      <c r="C22" s="8" t="s">
        <v>8</v>
      </c>
      <c r="D22" s="4">
        <v>600</v>
      </c>
      <c r="E22" s="4">
        <v>250</v>
      </c>
      <c r="F22" s="4">
        <v>300</v>
      </c>
      <c r="G22" s="4">
        <v>1.8</v>
      </c>
      <c r="H22" s="4">
        <v>40</v>
      </c>
      <c r="I22" s="4" t="s">
        <v>50</v>
      </c>
      <c r="J22" s="22">
        <v>3450</v>
      </c>
      <c r="K22" s="22">
        <v>3800</v>
      </c>
    </row>
    <row r="23" spans="1:11" ht="30" customHeight="1" x14ac:dyDescent="0.25">
      <c r="B23" s="9"/>
      <c r="C23" s="8"/>
      <c r="D23" s="4">
        <v>600</v>
      </c>
      <c r="E23" s="4">
        <v>200</v>
      </c>
      <c r="F23" s="4">
        <v>300</v>
      </c>
      <c r="G23" s="4">
        <v>1.8</v>
      </c>
      <c r="H23" s="4">
        <v>50</v>
      </c>
      <c r="I23" s="4" t="s">
        <v>50</v>
      </c>
      <c r="J23" s="22">
        <v>3400</v>
      </c>
      <c r="K23" s="22">
        <v>3800</v>
      </c>
    </row>
    <row r="24" spans="1:11" ht="30" customHeight="1" x14ac:dyDescent="0.25">
      <c r="B24" s="6" t="s">
        <v>15</v>
      </c>
      <c r="C24" s="6" t="s">
        <v>19</v>
      </c>
      <c r="D24" s="6">
        <v>600</v>
      </c>
      <c r="E24" s="6">
        <v>250</v>
      </c>
      <c r="F24" s="6">
        <v>350</v>
      </c>
      <c r="G24" s="6">
        <v>1.68</v>
      </c>
      <c r="H24" s="6">
        <v>32</v>
      </c>
      <c r="I24" s="6" t="s">
        <v>1045</v>
      </c>
      <c r="J24" s="23">
        <v>3450</v>
      </c>
      <c r="K24" s="23">
        <v>3800</v>
      </c>
    </row>
    <row r="25" spans="1:11" ht="30" customHeight="1" x14ac:dyDescent="0.25">
      <c r="B25" s="5" t="s">
        <v>44</v>
      </c>
      <c r="C25" s="8" t="s">
        <v>45</v>
      </c>
      <c r="D25" s="4">
        <v>600</v>
      </c>
      <c r="E25" s="4">
        <v>250</v>
      </c>
      <c r="F25" s="8">
        <v>375</v>
      </c>
      <c r="G25" s="8">
        <v>1.8</v>
      </c>
      <c r="H25" s="8">
        <v>32</v>
      </c>
      <c r="I25" s="8" t="s">
        <v>50</v>
      </c>
      <c r="J25" s="24">
        <v>3450</v>
      </c>
      <c r="K25" s="24">
        <v>3800</v>
      </c>
    </row>
    <row r="26" spans="1:11" ht="30" customHeight="1" x14ac:dyDescent="0.25">
      <c r="B26" s="6" t="s">
        <v>46</v>
      </c>
      <c r="C26" s="6">
        <v>0.12</v>
      </c>
      <c r="D26" s="6">
        <v>600</v>
      </c>
      <c r="E26" s="6">
        <v>250</v>
      </c>
      <c r="F26" s="6">
        <v>400</v>
      </c>
      <c r="G26" s="6">
        <v>1.92</v>
      </c>
      <c r="H26" s="6">
        <v>32</v>
      </c>
      <c r="I26" s="6" t="s">
        <v>1044</v>
      </c>
      <c r="J26" s="23">
        <v>3450</v>
      </c>
      <c r="K26" s="23">
        <v>3800</v>
      </c>
    </row>
    <row r="27" spans="1:11" ht="30" customHeight="1" x14ac:dyDescent="0.25">
      <c r="B27" s="8"/>
      <c r="C27" s="8"/>
      <c r="D27" s="8">
        <v>600</v>
      </c>
      <c r="E27" s="8">
        <v>250</v>
      </c>
      <c r="F27" s="8">
        <v>500</v>
      </c>
      <c r="G27" s="8">
        <v>1.8</v>
      </c>
      <c r="H27" s="8">
        <v>24</v>
      </c>
      <c r="I27" s="8" t="s">
        <v>50</v>
      </c>
      <c r="J27" s="24">
        <v>3450</v>
      </c>
      <c r="K27" s="24">
        <v>3800</v>
      </c>
    </row>
    <row r="28" spans="1:11" x14ac:dyDescent="0.25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</row>
    <row r="29" spans="1:11" ht="30" customHeight="1" x14ac:dyDescent="0.25">
      <c r="B29" s="461" t="s">
        <v>47</v>
      </c>
      <c r="C29" s="461"/>
      <c r="D29" s="4">
        <v>600</v>
      </c>
      <c r="E29" s="4">
        <v>250</v>
      </c>
      <c r="F29" s="4">
        <v>50</v>
      </c>
      <c r="G29" s="4">
        <v>1.44</v>
      </c>
      <c r="H29" s="4">
        <v>192</v>
      </c>
      <c r="I29" s="8" t="s">
        <v>1041</v>
      </c>
      <c r="J29" s="22">
        <v>3650</v>
      </c>
      <c r="K29" s="22">
        <v>3900</v>
      </c>
    </row>
    <row r="30" spans="1:11" ht="30" customHeight="1" x14ac:dyDescent="0.25">
      <c r="B30" s="460" t="s">
        <v>25</v>
      </c>
      <c r="C30" s="460"/>
      <c r="D30" s="6">
        <v>600</v>
      </c>
      <c r="E30" s="6">
        <v>250</v>
      </c>
      <c r="F30" s="6">
        <v>75</v>
      </c>
      <c r="G30" s="6">
        <v>1.8</v>
      </c>
      <c r="H30" s="6">
        <v>160</v>
      </c>
      <c r="I30" s="6" t="s">
        <v>50</v>
      </c>
      <c r="J30" s="23">
        <v>3500</v>
      </c>
      <c r="K30" s="23">
        <v>3900</v>
      </c>
    </row>
    <row r="31" spans="1:11" ht="30" customHeight="1" x14ac:dyDescent="0.25">
      <c r="B31" s="9" t="s">
        <v>17</v>
      </c>
      <c r="C31" s="8" t="s">
        <v>8</v>
      </c>
      <c r="D31" s="4">
        <v>600</v>
      </c>
      <c r="E31" s="4">
        <v>250</v>
      </c>
      <c r="F31" s="4">
        <v>80</v>
      </c>
      <c r="G31" s="4">
        <v>1.728</v>
      </c>
      <c r="H31" s="4">
        <v>144</v>
      </c>
      <c r="I31" s="8" t="s">
        <v>1042</v>
      </c>
      <c r="J31" s="22">
        <v>3500</v>
      </c>
      <c r="K31" s="22">
        <v>3900</v>
      </c>
    </row>
    <row r="32" spans="1:11" ht="30" customHeight="1" x14ac:dyDescent="0.25">
      <c r="B32" s="6" t="s">
        <v>15</v>
      </c>
      <c r="C32" s="6" t="s">
        <v>19</v>
      </c>
      <c r="D32" s="6">
        <v>600</v>
      </c>
      <c r="E32" s="6">
        <v>250</v>
      </c>
      <c r="F32" s="6">
        <v>100</v>
      </c>
      <c r="G32" s="6">
        <v>1.8</v>
      </c>
      <c r="H32" s="6">
        <v>120</v>
      </c>
      <c r="I32" s="6" t="s">
        <v>50</v>
      </c>
      <c r="J32" s="23">
        <v>3500</v>
      </c>
      <c r="K32" s="23">
        <v>3900</v>
      </c>
    </row>
    <row r="33" spans="1:11" ht="30" customHeight="1" x14ac:dyDescent="0.25">
      <c r="B33" s="5" t="s">
        <v>44</v>
      </c>
      <c r="C33" s="8" t="s">
        <v>45</v>
      </c>
      <c r="D33" s="8">
        <v>600</v>
      </c>
      <c r="E33" s="4">
        <v>250</v>
      </c>
      <c r="F33" s="8">
        <v>125</v>
      </c>
      <c r="G33" s="8">
        <v>1.8</v>
      </c>
      <c r="H33" s="8">
        <v>96</v>
      </c>
      <c r="I33" s="12" t="s">
        <v>1043</v>
      </c>
      <c r="J33" s="24">
        <v>3500</v>
      </c>
      <c r="K33" s="24">
        <v>3900</v>
      </c>
    </row>
    <row r="34" spans="1:11" ht="30" customHeight="1" x14ac:dyDescent="0.25">
      <c r="B34" s="6" t="s">
        <v>46</v>
      </c>
      <c r="C34" s="6">
        <v>0.12</v>
      </c>
      <c r="D34" s="6">
        <v>600</v>
      </c>
      <c r="E34" s="6">
        <v>250</v>
      </c>
      <c r="F34" s="6">
        <v>150</v>
      </c>
      <c r="G34" s="6">
        <v>1.8</v>
      </c>
      <c r="H34" s="6">
        <v>80</v>
      </c>
      <c r="I34" s="12" t="s">
        <v>50</v>
      </c>
      <c r="J34" s="23">
        <v>3500</v>
      </c>
      <c r="K34" s="23">
        <v>3900</v>
      </c>
    </row>
    <row r="35" spans="1:11" x14ac:dyDescent="0.25">
      <c r="A35" s="459"/>
      <c r="B35" s="459"/>
      <c r="C35" s="459"/>
      <c r="D35" s="459"/>
      <c r="E35" s="459"/>
      <c r="F35" s="459"/>
      <c r="G35" s="459"/>
      <c r="H35" s="459"/>
      <c r="I35" s="459"/>
      <c r="J35" s="459"/>
      <c r="K35" s="459"/>
    </row>
  </sheetData>
  <mergeCells count="17">
    <mergeCell ref="B21:C21"/>
    <mergeCell ref="A28:K28"/>
    <mergeCell ref="B29:C29"/>
    <mergeCell ref="B30:C30"/>
    <mergeCell ref="A35:K35"/>
    <mergeCell ref="J9:J10"/>
    <mergeCell ref="K9:K10"/>
    <mergeCell ref="B11:C11"/>
    <mergeCell ref="B12:C12"/>
    <mergeCell ref="A19:K19"/>
    <mergeCell ref="H9:H10"/>
    <mergeCell ref="I9:I10"/>
    <mergeCell ref="B20:C20"/>
    <mergeCell ref="A9:A10"/>
    <mergeCell ref="B9:C10"/>
    <mergeCell ref="D9:F9"/>
    <mergeCell ref="G9:G10"/>
  </mergeCells>
  <hyperlinks>
    <hyperlink ref="B7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5:K45"/>
  <sheetViews>
    <sheetView workbookViewId="0">
      <selection activeCell="N14" sqref="N14"/>
    </sheetView>
  </sheetViews>
  <sheetFormatPr defaultRowHeight="15" x14ac:dyDescent="0.25"/>
  <cols>
    <col min="1" max="1" width="19.5703125" customWidth="1"/>
    <col min="2" max="2" width="18.85546875" customWidth="1"/>
    <col min="3" max="3" width="18.28515625" customWidth="1"/>
    <col min="4" max="4" width="12.85546875" customWidth="1"/>
    <col min="5" max="5" width="11.5703125" customWidth="1"/>
    <col min="6" max="6" width="11.28515625" customWidth="1"/>
    <col min="7" max="7" width="14.42578125" customWidth="1"/>
    <col min="8" max="8" width="16" customWidth="1"/>
    <col min="9" max="9" width="20.5703125" customWidth="1"/>
    <col min="10" max="10" width="20" customWidth="1"/>
    <col min="11" max="11" width="18.85546875" customWidth="1"/>
  </cols>
  <sheetData>
    <row r="5" spans="1:11" ht="23.25" x14ac:dyDescent="0.35">
      <c r="D5" s="14" t="s">
        <v>1126</v>
      </c>
    </row>
    <row r="7" spans="1:11" ht="21" x14ac:dyDescent="0.35">
      <c r="D7" s="16" t="s">
        <v>28</v>
      </c>
    </row>
    <row r="8" spans="1:11" ht="18.75" x14ac:dyDescent="0.3">
      <c r="A8" s="25" t="s">
        <v>745</v>
      </c>
      <c r="D8" s="15" t="s">
        <v>1127</v>
      </c>
    </row>
    <row r="9" spans="1:11" ht="18.75" x14ac:dyDescent="0.3">
      <c r="B9" s="265" t="s">
        <v>29</v>
      </c>
      <c r="D9" s="15" t="s">
        <v>30</v>
      </c>
    </row>
    <row r="10" spans="1:11" x14ac:dyDescent="0.25">
      <c r="H10" t="s">
        <v>119</v>
      </c>
    </row>
    <row r="11" spans="1:11" ht="15.75" x14ac:dyDescent="0.25">
      <c r="A11" s="462" t="s">
        <v>18</v>
      </c>
      <c r="B11" s="462" t="s">
        <v>0</v>
      </c>
      <c r="C11" s="462"/>
      <c r="D11" s="462" t="s">
        <v>1</v>
      </c>
      <c r="E11" s="462"/>
      <c r="F11" s="462"/>
      <c r="G11" s="462" t="s">
        <v>13</v>
      </c>
      <c r="H11" s="462" t="s">
        <v>1128</v>
      </c>
      <c r="I11" s="462" t="s">
        <v>14</v>
      </c>
      <c r="J11" s="462" t="s">
        <v>1129</v>
      </c>
      <c r="K11" s="462" t="s">
        <v>38</v>
      </c>
    </row>
    <row r="12" spans="1:11" ht="31.5" x14ac:dyDescent="0.25">
      <c r="A12" s="462"/>
      <c r="B12" s="462"/>
      <c r="C12" s="462"/>
      <c r="D12" s="407" t="s">
        <v>2</v>
      </c>
      <c r="E12" s="407" t="s">
        <v>3</v>
      </c>
      <c r="F12" s="407" t="s">
        <v>4</v>
      </c>
      <c r="G12" s="462"/>
      <c r="H12" s="462"/>
      <c r="I12" s="462"/>
      <c r="J12" s="462"/>
      <c r="K12" s="462"/>
    </row>
    <row r="13" spans="1:11" ht="31.5" x14ac:dyDescent="0.25">
      <c r="B13" s="464" t="s">
        <v>1130</v>
      </c>
      <c r="C13" s="464"/>
      <c r="D13" s="4">
        <v>625</v>
      </c>
      <c r="E13" s="4" t="s">
        <v>1131</v>
      </c>
      <c r="F13" s="4">
        <v>75</v>
      </c>
      <c r="G13" s="4">
        <v>1.5</v>
      </c>
      <c r="H13" s="4" t="s">
        <v>1132</v>
      </c>
      <c r="I13" s="4" t="s">
        <v>1133</v>
      </c>
      <c r="J13" s="22">
        <v>3750</v>
      </c>
      <c r="K13" s="22">
        <v>3700</v>
      </c>
    </row>
    <row r="14" spans="1:11" ht="31.5" x14ac:dyDescent="0.25">
      <c r="B14" s="460" t="s">
        <v>20</v>
      </c>
      <c r="C14" s="460"/>
      <c r="D14" s="4">
        <v>625</v>
      </c>
      <c r="E14" s="4" t="s">
        <v>1131</v>
      </c>
      <c r="F14" s="6">
        <v>100</v>
      </c>
      <c r="G14" s="6">
        <v>1.875</v>
      </c>
      <c r="H14" s="6" t="s">
        <v>1134</v>
      </c>
      <c r="I14" s="6" t="s">
        <v>1135</v>
      </c>
      <c r="J14" s="22">
        <v>3750</v>
      </c>
      <c r="K14" s="22">
        <v>3700</v>
      </c>
    </row>
    <row r="15" spans="1:11" ht="33.75" x14ac:dyDescent="0.25">
      <c r="B15" s="4" t="s">
        <v>17</v>
      </c>
      <c r="C15" s="4" t="s">
        <v>6</v>
      </c>
      <c r="D15" s="4">
        <v>625</v>
      </c>
      <c r="E15" s="4" t="s">
        <v>1131</v>
      </c>
      <c r="F15" s="4">
        <v>125</v>
      </c>
      <c r="G15" s="4">
        <v>1.875</v>
      </c>
      <c r="H15" s="4" t="s">
        <v>1136</v>
      </c>
      <c r="I15" s="6" t="s">
        <v>1135</v>
      </c>
      <c r="J15" s="22">
        <v>3750</v>
      </c>
      <c r="K15" s="22">
        <v>3700</v>
      </c>
    </row>
    <row r="16" spans="1:11" ht="31.5" x14ac:dyDescent="0.25">
      <c r="B16" s="6" t="s">
        <v>15</v>
      </c>
      <c r="C16" s="6" t="s">
        <v>1038</v>
      </c>
      <c r="D16" s="4">
        <v>625</v>
      </c>
      <c r="E16" s="4" t="s">
        <v>1131</v>
      </c>
      <c r="F16" s="6">
        <v>150</v>
      </c>
      <c r="G16" s="6">
        <v>1.875</v>
      </c>
      <c r="H16" s="6" t="s">
        <v>1137</v>
      </c>
      <c r="I16" s="6" t="s">
        <v>1135</v>
      </c>
      <c r="J16" s="22">
        <v>3750</v>
      </c>
      <c r="K16" s="22">
        <v>3700</v>
      </c>
    </row>
    <row r="17" spans="1:11" ht="15.75" x14ac:dyDescent="0.25">
      <c r="B17" s="4"/>
      <c r="C17" s="4"/>
      <c r="D17" s="4">
        <v>625</v>
      </c>
      <c r="E17" s="4" t="s">
        <v>1131</v>
      </c>
      <c r="F17" s="4">
        <v>200</v>
      </c>
      <c r="G17" s="4">
        <v>2</v>
      </c>
      <c r="H17" s="4" t="s">
        <v>1138</v>
      </c>
      <c r="I17" s="4" t="s">
        <v>1139</v>
      </c>
      <c r="J17" s="22">
        <v>3750</v>
      </c>
      <c r="K17" s="22">
        <v>3700</v>
      </c>
    </row>
    <row r="18" spans="1:11" ht="31.5" x14ac:dyDescent="0.25">
      <c r="B18" s="8"/>
      <c r="C18" s="8"/>
      <c r="D18" s="4">
        <v>625</v>
      </c>
      <c r="E18" s="4" t="s">
        <v>1131</v>
      </c>
      <c r="F18" s="6">
        <v>250</v>
      </c>
      <c r="G18" s="6">
        <v>1.875</v>
      </c>
      <c r="H18" s="6" t="s">
        <v>1140</v>
      </c>
      <c r="I18" s="6" t="s">
        <v>1135</v>
      </c>
      <c r="J18" s="22">
        <v>3750</v>
      </c>
      <c r="K18" s="22">
        <v>3700</v>
      </c>
    </row>
    <row r="19" spans="1:11" ht="31.5" x14ac:dyDescent="0.25">
      <c r="B19" s="8"/>
      <c r="C19" s="8"/>
      <c r="D19" s="4">
        <v>625</v>
      </c>
      <c r="E19" s="4" t="s">
        <v>1131</v>
      </c>
      <c r="F19" s="4">
        <v>300</v>
      </c>
      <c r="G19" s="4">
        <v>1.875</v>
      </c>
      <c r="H19" s="4" t="s">
        <v>1141</v>
      </c>
      <c r="I19" s="6" t="s">
        <v>1135</v>
      </c>
      <c r="J19" s="22">
        <v>3750</v>
      </c>
      <c r="K19" s="22">
        <v>3700</v>
      </c>
    </row>
    <row r="20" spans="1:11" ht="31.5" x14ac:dyDescent="0.25">
      <c r="B20" s="8"/>
      <c r="C20" s="8"/>
      <c r="D20" s="4">
        <v>625</v>
      </c>
      <c r="E20" s="4">
        <v>250</v>
      </c>
      <c r="F20" s="4">
        <v>375</v>
      </c>
      <c r="G20" s="4">
        <v>1.875</v>
      </c>
      <c r="H20" s="4">
        <v>32</v>
      </c>
      <c r="I20" s="6" t="s">
        <v>1135</v>
      </c>
      <c r="J20" s="22">
        <v>3750</v>
      </c>
      <c r="K20" s="22">
        <v>3700</v>
      </c>
    </row>
    <row r="21" spans="1:11" ht="15.75" x14ac:dyDescent="0.25">
      <c r="B21" s="8"/>
      <c r="C21" s="8"/>
      <c r="D21" s="4">
        <v>625</v>
      </c>
      <c r="E21" s="4" t="s">
        <v>1131</v>
      </c>
      <c r="F21" s="4">
        <v>400</v>
      </c>
      <c r="G21" s="4">
        <v>2</v>
      </c>
      <c r="H21" s="4" t="s">
        <v>1142</v>
      </c>
      <c r="I21" s="4" t="s">
        <v>1139</v>
      </c>
      <c r="J21" s="22">
        <v>3750</v>
      </c>
      <c r="K21" s="22">
        <v>3700</v>
      </c>
    </row>
    <row r="22" spans="1:11" ht="31.5" x14ac:dyDescent="0.25">
      <c r="B22" s="8"/>
      <c r="C22" s="8"/>
      <c r="D22" s="4">
        <v>625</v>
      </c>
      <c r="E22" s="4" t="s">
        <v>1131</v>
      </c>
      <c r="F22" s="4">
        <v>500</v>
      </c>
      <c r="G22" s="4">
        <v>1.875</v>
      </c>
      <c r="H22" s="4" t="s">
        <v>1143</v>
      </c>
      <c r="I22" s="6" t="s">
        <v>1135</v>
      </c>
      <c r="J22" s="22">
        <v>3750</v>
      </c>
      <c r="K22" s="22">
        <v>3700</v>
      </c>
    </row>
    <row r="23" spans="1:11" x14ac:dyDescent="0.25">
      <c r="A23" s="459"/>
      <c r="B23" s="459"/>
      <c r="C23" s="459"/>
      <c r="D23" s="459"/>
      <c r="E23" s="459"/>
      <c r="F23" s="459"/>
      <c r="G23" s="459"/>
      <c r="H23" s="459"/>
      <c r="I23" s="459"/>
      <c r="J23" s="459"/>
      <c r="K23" s="459"/>
    </row>
    <row r="24" spans="1:11" ht="15.75" x14ac:dyDescent="0.25">
      <c r="B24" s="461" t="s">
        <v>1144</v>
      </c>
      <c r="C24" s="461"/>
      <c r="D24" s="4">
        <v>625</v>
      </c>
      <c r="E24" s="4" t="s">
        <v>1131</v>
      </c>
      <c r="F24" s="4">
        <v>75</v>
      </c>
      <c r="G24" s="4">
        <v>1.5</v>
      </c>
      <c r="H24" s="4" t="s">
        <v>1132</v>
      </c>
      <c r="I24" s="4" t="s">
        <v>1145</v>
      </c>
      <c r="J24" s="22">
        <v>3750</v>
      </c>
      <c r="K24" s="22">
        <v>3700</v>
      </c>
    </row>
    <row r="25" spans="1:11" ht="31.5" x14ac:dyDescent="0.25">
      <c r="B25" s="460" t="s">
        <v>1039</v>
      </c>
      <c r="C25" s="460"/>
      <c r="D25" s="4">
        <v>625</v>
      </c>
      <c r="E25" s="4" t="s">
        <v>1131</v>
      </c>
      <c r="F25" s="6">
        <v>100</v>
      </c>
      <c r="G25" s="6">
        <v>1.875</v>
      </c>
      <c r="H25" s="6" t="s">
        <v>1134</v>
      </c>
      <c r="I25" s="6" t="s">
        <v>1146</v>
      </c>
      <c r="J25" s="22">
        <v>3750</v>
      </c>
      <c r="K25" s="22">
        <v>3700</v>
      </c>
    </row>
    <row r="26" spans="1:11" ht="33.75" x14ac:dyDescent="0.25">
      <c r="B26" s="8" t="s">
        <v>17</v>
      </c>
      <c r="C26" s="8" t="s">
        <v>8</v>
      </c>
      <c r="D26" s="4">
        <v>625</v>
      </c>
      <c r="E26" s="4" t="s">
        <v>1131</v>
      </c>
      <c r="F26" s="4">
        <v>125</v>
      </c>
      <c r="G26" s="4">
        <v>1.875</v>
      </c>
      <c r="H26" s="4" t="s">
        <v>1136</v>
      </c>
      <c r="I26" s="6" t="s">
        <v>1146</v>
      </c>
      <c r="J26" s="22">
        <v>3750</v>
      </c>
      <c r="K26" s="22">
        <v>3700</v>
      </c>
    </row>
    <row r="27" spans="1:11" ht="31.5" x14ac:dyDescent="0.25">
      <c r="B27" s="6" t="s">
        <v>15</v>
      </c>
      <c r="C27" s="6" t="s">
        <v>16</v>
      </c>
      <c r="D27" s="4">
        <v>625</v>
      </c>
      <c r="E27" s="4" t="s">
        <v>1131</v>
      </c>
      <c r="F27" s="6">
        <v>150</v>
      </c>
      <c r="G27" s="6">
        <v>1.875</v>
      </c>
      <c r="H27" s="6" t="s">
        <v>1137</v>
      </c>
      <c r="I27" s="6" t="s">
        <v>1146</v>
      </c>
      <c r="J27" s="22">
        <v>3750</v>
      </c>
      <c r="K27" s="22">
        <v>3700</v>
      </c>
    </row>
    <row r="28" spans="1:11" ht="15.75" x14ac:dyDescent="0.25">
      <c r="B28" s="4"/>
      <c r="C28" s="4"/>
      <c r="D28" s="4">
        <v>625</v>
      </c>
      <c r="E28" s="4" t="s">
        <v>1131</v>
      </c>
      <c r="F28" s="4">
        <v>200</v>
      </c>
      <c r="G28" s="4">
        <v>2</v>
      </c>
      <c r="H28" s="4" t="s">
        <v>1138</v>
      </c>
      <c r="I28" s="4" t="s">
        <v>1147</v>
      </c>
      <c r="J28" s="22">
        <v>3750</v>
      </c>
      <c r="K28" s="22">
        <v>3700</v>
      </c>
    </row>
    <row r="29" spans="1:11" ht="31.5" x14ac:dyDescent="0.25">
      <c r="B29" s="6"/>
      <c r="C29" s="6"/>
      <c r="D29" s="4">
        <v>625</v>
      </c>
      <c r="E29" s="4" t="s">
        <v>1131</v>
      </c>
      <c r="F29" s="6">
        <v>250</v>
      </c>
      <c r="G29" s="6">
        <v>1.875</v>
      </c>
      <c r="H29" s="6" t="s">
        <v>1140</v>
      </c>
      <c r="I29" s="6" t="s">
        <v>1146</v>
      </c>
      <c r="J29" s="22">
        <v>3750</v>
      </c>
      <c r="K29" s="22">
        <v>3700</v>
      </c>
    </row>
    <row r="30" spans="1:11" ht="31.5" x14ac:dyDescent="0.25">
      <c r="B30" s="6"/>
      <c r="C30" s="6"/>
      <c r="D30" s="4">
        <v>625</v>
      </c>
      <c r="E30" s="4" t="s">
        <v>1131</v>
      </c>
      <c r="F30" s="4">
        <v>300</v>
      </c>
      <c r="G30" s="4">
        <v>1.875</v>
      </c>
      <c r="H30" s="4" t="s">
        <v>1141</v>
      </c>
      <c r="I30" s="6" t="s">
        <v>1146</v>
      </c>
      <c r="J30" s="22">
        <v>3750</v>
      </c>
      <c r="K30" s="22">
        <v>3700</v>
      </c>
    </row>
    <row r="31" spans="1:11" ht="31.5" x14ac:dyDescent="0.25">
      <c r="B31" s="6"/>
      <c r="C31" s="6"/>
      <c r="D31" s="4">
        <v>625</v>
      </c>
      <c r="E31" s="4">
        <v>250</v>
      </c>
      <c r="F31" s="4">
        <v>375</v>
      </c>
      <c r="G31" s="4">
        <v>1.875</v>
      </c>
      <c r="H31" s="4">
        <v>32</v>
      </c>
      <c r="I31" s="6" t="s">
        <v>1146</v>
      </c>
      <c r="J31" s="22">
        <v>3750</v>
      </c>
      <c r="K31" s="22">
        <v>3700</v>
      </c>
    </row>
    <row r="32" spans="1:11" ht="15.75" x14ac:dyDescent="0.25">
      <c r="B32" s="6"/>
      <c r="C32" s="6"/>
      <c r="D32" s="4">
        <v>625</v>
      </c>
      <c r="E32" s="4" t="s">
        <v>1131</v>
      </c>
      <c r="F32" s="4">
        <v>400</v>
      </c>
      <c r="G32" s="4">
        <v>2</v>
      </c>
      <c r="H32" s="4" t="s">
        <v>1142</v>
      </c>
      <c r="I32" s="4" t="s">
        <v>1147</v>
      </c>
      <c r="J32" s="22">
        <v>3750</v>
      </c>
      <c r="K32" s="22">
        <v>3700</v>
      </c>
    </row>
    <row r="33" spans="1:11" ht="31.5" x14ac:dyDescent="0.25">
      <c r="B33" s="4"/>
      <c r="C33" s="4"/>
      <c r="D33" s="4">
        <v>625</v>
      </c>
      <c r="E33" s="4" t="s">
        <v>1131</v>
      </c>
      <c r="F33" s="4">
        <v>500</v>
      </c>
      <c r="G33" s="4">
        <v>1.875</v>
      </c>
      <c r="H33" s="4" t="s">
        <v>1143</v>
      </c>
      <c r="I33" s="6" t="s">
        <v>1146</v>
      </c>
      <c r="J33" s="22">
        <v>3750</v>
      </c>
      <c r="K33" s="22">
        <v>3700</v>
      </c>
    </row>
    <row r="34" spans="1:11" x14ac:dyDescent="0.25">
      <c r="A34" s="459"/>
      <c r="B34" s="459"/>
      <c r="C34" s="459"/>
      <c r="D34" s="459"/>
      <c r="E34" s="459"/>
      <c r="F34" s="459"/>
      <c r="G34" s="459"/>
      <c r="H34" s="459"/>
      <c r="I34" s="459"/>
      <c r="J34" s="459"/>
      <c r="K34" s="459"/>
    </row>
    <row r="35" spans="1:11" ht="31.5" x14ac:dyDescent="0.25">
      <c r="B35" s="461" t="s">
        <v>1148</v>
      </c>
      <c r="C35" s="461"/>
      <c r="D35" s="4">
        <v>625</v>
      </c>
      <c r="E35" s="4" t="s">
        <v>1131</v>
      </c>
      <c r="F35" s="4">
        <v>75</v>
      </c>
      <c r="G35" s="4">
        <v>1.5</v>
      </c>
      <c r="H35" s="4" t="s">
        <v>1132</v>
      </c>
      <c r="I35" s="8" t="s">
        <v>1149</v>
      </c>
      <c r="J35" s="22">
        <v>3800</v>
      </c>
      <c r="K35" s="22">
        <v>3750</v>
      </c>
    </row>
    <row r="36" spans="1:11" ht="47.25" x14ac:dyDescent="0.25">
      <c r="B36" s="460" t="s">
        <v>1040</v>
      </c>
      <c r="C36" s="460"/>
      <c r="D36" s="4">
        <v>625</v>
      </c>
      <c r="E36" s="4" t="s">
        <v>1131</v>
      </c>
      <c r="F36" s="6">
        <v>100</v>
      </c>
      <c r="G36" s="6">
        <v>1.875</v>
      </c>
      <c r="H36" s="6" t="s">
        <v>1134</v>
      </c>
      <c r="I36" s="6" t="s">
        <v>1150</v>
      </c>
      <c r="J36" s="22">
        <v>3800</v>
      </c>
      <c r="K36" s="22">
        <v>3750</v>
      </c>
    </row>
    <row r="37" spans="1:11" ht="47.25" x14ac:dyDescent="0.25">
      <c r="B37" s="8" t="s">
        <v>17</v>
      </c>
      <c r="C37" s="8" t="s">
        <v>10</v>
      </c>
      <c r="D37" s="4">
        <v>625</v>
      </c>
      <c r="E37" s="4" t="s">
        <v>1131</v>
      </c>
      <c r="F37" s="4">
        <v>125</v>
      </c>
      <c r="G37" s="4">
        <v>1.875</v>
      </c>
      <c r="H37" s="4" t="s">
        <v>1136</v>
      </c>
      <c r="I37" s="6" t="s">
        <v>1150</v>
      </c>
      <c r="J37" s="22">
        <v>3800</v>
      </c>
      <c r="K37" s="22">
        <v>3750</v>
      </c>
    </row>
    <row r="38" spans="1:11" ht="47.25" x14ac:dyDescent="0.25">
      <c r="B38" s="6" t="s">
        <v>15</v>
      </c>
      <c r="C38" s="6" t="s">
        <v>19</v>
      </c>
      <c r="D38" s="4">
        <v>625</v>
      </c>
      <c r="E38" s="4" t="s">
        <v>1131</v>
      </c>
      <c r="F38" s="6">
        <v>150</v>
      </c>
      <c r="G38" s="6">
        <v>1.875</v>
      </c>
      <c r="H38" s="6" t="s">
        <v>1137</v>
      </c>
      <c r="I38" s="6" t="s">
        <v>1150</v>
      </c>
      <c r="J38" s="22">
        <v>3800</v>
      </c>
      <c r="K38" s="22">
        <v>3750</v>
      </c>
    </row>
    <row r="39" spans="1:11" ht="15.75" x14ac:dyDescent="0.25">
      <c r="B39" s="399"/>
      <c r="C39" s="399"/>
      <c r="D39" s="4">
        <v>625</v>
      </c>
      <c r="E39" s="4" t="s">
        <v>1131</v>
      </c>
      <c r="F39" s="4">
        <v>200</v>
      </c>
      <c r="G39" s="4">
        <v>2</v>
      </c>
      <c r="H39" s="4" t="s">
        <v>1138</v>
      </c>
      <c r="I39" s="399" t="s">
        <v>1151</v>
      </c>
      <c r="J39" s="22">
        <v>3800</v>
      </c>
      <c r="K39" s="22">
        <v>3750</v>
      </c>
    </row>
    <row r="40" spans="1:11" ht="47.25" x14ac:dyDescent="0.25">
      <c r="B40" s="399"/>
      <c r="C40" s="399"/>
      <c r="D40" s="4">
        <v>625</v>
      </c>
      <c r="E40" s="4" t="s">
        <v>1131</v>
      </c>
      <c r="F40" s="6">
        <v>250</v>
      </c>
      <c r="G40" s="6">
        <v>1.875</v>
      </c>
      <c r="H40" s="6" t="s">
        <v>1140</v>
      </c>
      <c r="I40" s="6" t="s">
        <v>1150</v>
      </c>
      <c r="J40" s="22">
        <v>3800</v>
      </c>
      <c r="K40" s="22">
        <v>3750</v>
      </c>
    </row>
    <row r="41" spans="1:11" ht="47.25" x14ac:dyDescent="0.25">
      <c r="B41" s="399"/>
      <c r="C41" s="399"/>
      <c r="D41" s="4">
        <v>625</v>
      </c>
      <c r="E41" s="4" t="s">
        <v>1131</v>
      </c>
      <c r="F41" s="4">
        <v>300</v>
      </c>
      <c r="G41" s="4">
        <v>1.875</v>
      </c>
      <c r="H41" s="4" t="s">
        <v>1141</v>
      </c>
      <c r="I41" s="6" t="s">
        <v>1150</v>
      </c>
      <c r="J41" s="22">
        <v>3800</v>
      </c>
      <c r="K41" s="22">
        <v>3750</v>
      </c>
    </row>
    <row r="42" spans="1:11" ht="47.25" x14ac:dyDescent="0.25">
      <c r="B42" s="12"/>
      <c r="C42" s="12"/>
      <c r="D42" s="4">
        <v>625</v>
      </c>
      <c r="E42" s="4">
        <v>250</v>
      </c>
      <c r="F42" s="4">
        <v>375</v>
      </c>
      <c r="G42" s="4">
        <v>1.875</v>
      </c>
      <c r="H42" s="4">
        <v>32</v>
      </c>
      <c r="I42" s="6" t="s">
        <v>1150</v>
      </c>
      <c r="J42" s="22">
        <v>3800</v>
      </c>
      <c r="K42" s="22">
        <v>3750</v>
      </c>
    </row>
    <row r="43" spans="1:11" ht="15.75" x14ac:dyDescent="0.25">
      <c r="B43" s="12"/>
      <c r="C43" s="12"/>
      <c r="D43" s="4">
        <v>625</v>
      </c>
      <c r="E43" s="4" t="s">
        <v>1131</v>
      </c>
      <c r="F43" s="4">
        <v>400</v>
      </c>
      <c r="G43" s="4">
        <v>2</v>
      </c>
      <c r="H43" s="4" t="s">
        <v>1142</v>
      </c>
      <c r="I43" s="399" t="s">
        <v>1151</v>
      </c>
      <c r="J43" s="22">
        <v>3800</v>
      </c>
      <c r="K43" s="22">
        <v>3750</v>
      </c>
    </row>
    <row r="44" spans="1:11" ht="47.25" x14ac:dyDescent="0.25">
      <c r="B44" s="12"/>
      <c r="C44" s="12"/>
      <c r="D44" s="4">
        <v>625</v>
      </c>
      <c r="E44" s="4" t="s">
        <v>1131</v>
      </c>
      <c r="F44" s="4">
        <v>500</v>
      </c>
      <c r="G44" s="4">
        <v>1.875</v>
      </c>
      <c r="H44" s="4" t="s">
        <v>1143</v>
      </c>
      <c r="I44" s="6" t="s">
        <v>1150</v>
      </c>
      <c r="J44" s="22">
        <v>3800</v>
      </c>
      <c r="K44" s="22">
        <v>3750</v>
      </c>
    </row>
    <row r="45" spans="1:11" x14ac:dyDescent="0.25">
      <c r="A45" s="459"/>
      <c r="B45" s="459"/>
      <c r="C45" s="459"/>
      <c r="D45" s="459"/>
      <c r="E45" s="459"/>
      <c r="F45" s="459"/>
      <c r="G45" s="459"/>
      <c r="H45" s="459"/>
      <c r="I45" s="459"/>
      <c r="J45" s="459"/>
      <c r="K45" s="459"/>
    </row>
  </sheetData>
  <mergeCells count="17">
    <mergeCell ref="B24:C24"/>
    <mergeCell ref="A11:A12"/>
    <mergeCell ref="B11:C12"/>
    <mergeCell ref="D11:F11"/>
    <mergeCell ref="G11:G12"/>
    <mergeCell ref="J11:J12"/>
    <mergeCell ref="K11:K12"/>
    <mergeCell ref="B13:C13"/>
    <mergeCell ref="B14:C14"/>
    <mergeCell ref="A23:K23"/>
    <mergeCell ref="H11:H12"/>
    <mergeCell ref="I11:I12"/>
    <mergeCell ref="B25:C25"/>
    <mergeCell ref="A34:K34"/>
    <mergeCell ref="B35:C35"/>
    <mergeCell ref="B36:C36"/>
    <mergeCell ref="A45:K45"/>
  </mergeCells>
  <hyperlinks>
    <hyperlink ref="B9" location="Общий!A1" display="на главную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4:H66"/>
  <sheetViews>
    <sheetView zoomScale="110" zoomScaleNormal="110" workbookViewId="0">
      <selection activeCell="D6" sqref="D6"/>
    </sheetView>
  </sheetViews>
  <sheetFormatPr defaultRowHeight="15" x14ac:dyDescent="0.25"/>
  <cols>
    <col min="2" max="2" width="21.5703125" customWidth="1"/>
    <col min="3" max="3" width="25.7109375" customWidth="1"/>
    <col min="4" max="4" width="22.140625" customWidth="1"/>
    <col min="5" max="5" width="19.28515625" customWidth="1"/>
    <col min="6" max="6" width="19.42578125" customWidth="1"/>
    <col min="7" max="7" width="20.5703125" customWidth="1"/>
    <col min="8" max="8" width="21.140625" customWidth="1"/>
    <col min="258" max="258" width="21.5703125" customWidth="1"/>
    <col min="259" max="264" width="15.7109375" customWidth="1"/>
    <col min="514" max="514" width="21.5703125" customWidth="1"/>
    <col min="515" max="520" width="15.7109375" customWidth="1"/>
    <col min="770" max="770" width="21.5703125" customWidth="1"/>
    <col min="771" max="776" width="15.7109375" customWidth="1"/>
    <col min="1026" max="1026" width="21.5703125" customWidth="1"/>
    <col min="1027" max="1032" width="15.7109375" customWidth="1"/>
    <col min="1282" max="1282" width="21.5703125" customWidth="1"/>
    <col min="1283" max="1288" width="15.7109375" customWidth="1"/>
    <col min="1538" max="1538" width="21.5703125" customWidth="1"/>
    <col min="1539" max="1544" width="15.7109375" customWidth="1"/>
    <col min="1794" max="1794" width="21.5703125" customWidth="1"/>
    <col min="1795" max="1800" width="15.7109375" customWidth="1"/>
    <col min="2050" max="2050" width="21.5703125" customWidth="1"/>
    <col min="2051" max="2056" width="15.7109375" customWidth="1"/>
    <col min="2306" max="2306" width="21.5703125" customWidth="1"/>
    <col min="2307" max="2312" width="15.7109375" customWidth="1"/>
    <col min="2562" max="2562" width="21.5703125" customWidth="1"/>
    <col min="2563" max="2568" width="15.7109375" customWidth="1"/>
    <col min="2818" max="2818" width="21.5703125" customWidth="1"/>
    <col min="2819" max="2824" width="15.7109375" customWidth="1"/>
    <col min="3074" max="3074" width="21.5703125" customWidth="1"/>
    <col min="3075" max="3080" width="15.7109375" customWidth="1"/>
    <col min="3330" max="3330" width="21.5703125" customWidth="1"/>
    <col min="3331" max="3336" width="15.7109375" customWidth="1"/>
    <col min="3586" max="3586" width="21.5703125" customWidth="1"/>
    <col min="3587" max="3592" width="15.7109375" customWidth="1"/>
    <col min="3842" max="3842" width="21.5703125" customWidth="1"/>
    <col min="3843" max="3848" width="15.7109375" customWidth="1"/>
    <col min="4098" max="4098" width="21.5703125" customWidth="1"/>
    <col min="4099" max="4104" width="15.7109375" customWidth="1"/>
    <col min="4354" max="4354" width="21.5703125" customWidth="1"/>
    <col min="4355" max="4360" width="15.7109375" customWidth="1"/>
    <col min="4610" max="4610" width="21.5703125" customWidth="1"/>
    <col min="4611" max="4616" width="15.7109375" customWidth="1"/>
    <col min="4866" max="4866" width="21.5703125" customWidth="1"/>
    <col min="4867" max="4872" width="15.7109375" customWidth="1"/>
    <col min="5122" max="5122" width="21.5703125" customWidth="1"/>
    <col min="5123" max="5128" width="15.7109375" customWidth="1"/>
    <col min="5378" max="5378" width="21.5703125" customWidth="1"/>
    <col min="5379" max="5384" width="15.7109375" customWidth="1"/>
    <col min="5634" max="5634" width="21.5703125" customWidth="1"/>
    <col min="5635" max="5640" width="15.7109375" customWidth="1"/>
    <col min="5890" max="5890" width="21.5703125" customWidth="1"/>
    <col min="5891" max="5896" width="15.7109375" customWidth="1"/>
    <col min="6146" max="6146" width="21.5703125" customWidth="1"/>
    <col min="6147" max="6152" width="15.7109375" customWidth="1"/>
    <col min="6402" max="6402" width="21.5703125" customWidth="1"/>
    <col min="6403" max="6408" width="15.7109375" customWidth="1"/>
    <col min="6658" max="6658" width="21.5703125" customWidth="1"/>
    <col min="6659" max="6664" width="15.7109375" customWidth="1"/>
    <col min="6914" max="6914" width="21.5703125" customWidth="1"/>
    <col min="6915" max="6920" width="15.7109375" customWidth="1"/>
    <col min="7170" max="7170" width="21.5703125" customWidth="1"/>
    <col min="7171" max="7176" width="15.7109375" customWidth="1"/>
    <col min="7426" max="7426" width="21.5703125" customWidth="1"/>
    <col min="7427" max="7432" width="15.7109375" customWidth="1"/>
    <col min="7682" max="7682" width="21.5703125" customWidth="1"/>
    <col min="7683" max="7688" width="15.7109375" customWidth="1"/>
    <col min="7938" max="7938" width="21.5703125" customWidth="1"/>
    <col min="7939" max="7944" width="15.7109375" customWidth="1"/>
    <col min="8194" max="8194" width="21.5703125" customWidth="1"/>
    <col min="8195" max="8200" width="15.7109375" customWidth="1"/>
    <col min="8450" max="8450" width="21.5703125" customWidth="1"/>
    <col min="8451" max="8456" width="15.7109375" customWidth="1"/>
    <col min="8706" max="8706" width="21.5703125" customWidth="1"/>
    <col min="8707" max="8712" width="15.7109375" customWidth="1"/>
    <col min="8962" max="8962" width="21.5703125" customWidth="1"/>
    <col min="8963" max="8968" width="15.7109375" customWidth="1"/>
    <col min="9218" max="9218" width="21.5703125" customWidth="1"/>
    <col min="9219" max="9224" width="15.7109375" customWidth="1"/>
    <col min="9474" max="9474" width="21.5703125" customWidth="1"/>
    <col min="9475" max="9480" width="15.7109375" customWidth="1"/>
    <col min="9730" max="9730" width="21.5703125" customWidth="1"/>
    <col min="9731" max="9736" width="15.7109375" customWidth="1"/>
    <col min="9986" max="9986" width="21.5703125" customWidth="1"/>
    <col min="9987" max="9992" width="15.7109375" customWidth="1"/>
    <col min="10242" max="10242" width="21.5703125" customWidth="1"/>
    <col min="10243" max="10248" width="15.7109375" customWidth="1"/>
    <col min="10498" max="10498" width="21.5703125" customWidth="1"/>
    <col min="10499" max="10504" width="15.7109375" customWidth="1"/>
    <col min="10754" max="10754" width="21.5703125" customWidth="1"/>
    <col min="10755" max="10760" width="15.7109375" customWidth="1"/>
    <col min="11010" max="11010" width="21.5703125" customWidth="1"/>
    <col min="11011" max="11016" width="15.7109375" customWidth="1"/>
    <col min="11266" max="11266" width="21.5703125" customWidth="1"/>
    <col min="11267" max="11272" width="15.7109375" customWidth="1"/>
    <col min="11522" max="11522" width="21.5703125" customWidth="1"/>
    <col min="11523" max="11528" width="15.7109375" customWidth="1"/>
    <col min="11778" max="11778" width="21.5703125" customWidth="1"/>
    <col min="11779" max="11784" width="15.7109375" customWidth="1"/>
    <col min="12034" max="12034" width="21.5703125" customWidth="1"/>
    <col min="12035" max="12040" width="15.7109375" customWidth="1"/>
    <col min="12290" max="12290" width="21.5703125" customWidth="1"/>
    <col min="12291" max="12296" width="15.7109375" customWidth="1"/>
    <col min="12546" max="12546" width="21.5703125" customWidth="1"/>
    <col min="12547" max="12552" width="15.7109375" customWidth="1"/>
    <col min="12802" max="12802" width="21.5703125" customWidth="1"/>
    <col min="12803" max="12808" width="15.7109375" customWidth="1"/>
    <col min="13058" max="13058" width="21.5703125" customWidth="1"/>
    <col min="13059" max="13064" width="15.7109375" customWidth="1"/>
    <col min="13314" max="13314" width="21.5703125" customWidth="1"/>
    <col min="13315" max="13320" width="15.7109375" customWidth="1"/>
    <col min="13570" max="13570" width="21.5703125" customWidth="1"/>
    <col min="13571" max="13576" width="15.7109375" customWidth="1"/>
    <col min="13826" max="13826" width="21.5703125" customWidth="1"/>
    <col min="13827" max="13832" width="15.7109375" customWidth="1"/>
    <col min="14082" max="14082" width="21.5703125" customWidth="1"/>
    <col min="14083" max="14088" width="15.7109375" customWidth="1"/>
    <col min="14338" max="14338" width="21.5703125" customWidth="1"/>
    <col min="14339" max="14344" width="15.7109375" customWidth="1"/>
    <col min="14594" max="14594" width="21.5703125" customWidth="1"/>
    <col min="14595" max="14600" width="15.7109375" customWidth="1"/>
    <col min="14850" max="14850" width="21.5703125" customWidth="1"/>
    <col min="14851" max="14856" width="15.7109375" customWidth="1"/>
    <col min="15106" max="15106" width="21.5703125" customWidth="1"/>
    <col min="15107" max="15112" width="15.7109375" customWidth="1"/>
    <col min="15362" max="15362" width="21.5703125" customWidth="1"/>
    <col min="15363" max="15368" width="15.7109375" customWidth="1"/>
    <col min="15618" max="15618" width="21.5703125" customWidth="1"/>
    <col min="15619" max="15624" width="15.7109375" customWidth="1"/>
    <col min="15874" max="15874" width="21.5703125" customWidth="1"/>
    <col min="15875" max="15880" width="15.7109375" customWidth="1"/>
    <col min="16130" max="16130" width="21.5703125" customWidth="1"/>
    <col min="16131" max="16136" width="15.7109375" customWidth="1"/>
  </cols>
  <sheetData>
    <row r="4" spans="1:8" x14ac:dyDescent="0.25">
      <c r="A4" s="30"/>
    </row>
    <row r="5" spans="1:8" x14ac:dyDescent="0.25">
      <c r="A5" s="30"/>
    </row>
    <row r="6" spans="1:8" ht="29.25" customHeight="1" x14ac:dyDescent="0.35">
      <c r="A6" s="25" t="s">
        <v>745</v>
      </c>
      <c r="D6" s="14" t="s">
        <v>120</v>
      </c>
    </row>
    <row r="7" spans="1:8" s="32" customFormat="1" ht="18.75" x14ac:dyDescent="0.25">
      <c r="A7" s="31"/>
      <c r="B7" s="265" t="s">
        <v>29</v>
      </c>
    </row>
    <row r="8" spans="1:8" ht="17.25" customHeight="1" x14ac:dyDescent="0.35">
      <c r="B8" s="17"/>
      <c r="C8" s="17"/>
      <c r="E8" s="14"/>
      <c r="F8" s="14"/>
      <c r="G8" s="480">
        <v>42004</v>
      </c>
      <c r="H8" s="481"/>
    </row>
    <row r="9" spans="1:8" ht="15.75" customHeight="1" thickBot="1" x14ac:dyDescent="0.3">
      <c r="A9" s="479"/>
      <c r="B9" s="479"/>
      <c r="E9" t="s">
        <v>119</v>
      </c>
    </row>
    <row r="10" spans="1:8" ht="50.1" customHeight="1" thickBot="1" x14ac:dyDescent="0.3">
      <c r="A10" s="482" t="s">
        <v>65</v>
      </c>
      <c r="B10" s="484" t="s">
        <v>66</v>
      </c>
      <c r="C10" s="484" t="s">
        <v>67</v>
      </c>
      <c r="D10" s="484" t="s">
        <v>68</v>
      </c>
      <c r="E10" s="484" t="s">
        <v>69</v>
      </c>
      <c r="F10" s="484" t="s">
        <v>70</v>
      </c>
      <c r="G10" s="484" t="s">
        <v>71</v>
      </c>
      <c r="H10" s="315" t="s">
        <v>72</v>
      </c>
    </row>
    <row r="11" spans="1:8" ht="50.1" customHeight="1" thickBot="1" x14ac:dyDescent="0.3">
      <c r="A11" s="483"/>
      <c r="B11" s="462"/>
      <c r="C11" s="462"/>
      <c r="D11" s="462"/>
      <c r="E11" s="462"/>
      <c r="F11" s="462"/>
      <c r="G11" s="485"/>
      <c r="H11" s="316" t="s">
        <v>73</v>
      </c>
    </row>
    <row r="12" spans="1:8" ht="15.75" customHeight="1" thickBot="1" x14ac:dyDescent="0.3">
      <c r="A12" s="474" t="s">
        <v>74</v>
      </c>
      <c r="B12" s="459"/>
      <c r="C12" s="459"/>
      <c r="D12" s="459"/>
      <c r="E12" s="459"/>
      <c r="F12" s="459"/>
      <c r="G12" s="459"/>
      <c r="H12" s="475"/>
    </row>
    <row r="13" spans="1:8" ht="20.100000000000001" customHeight="1" x14ac:dyDescent="0.25">
      <c r="A13" s="468">
        <v>1</v>
      </c>
      <c r="B13" s="470" t="s">
        <v>75</v>
      </c>
      <c r="C13" s="747" t="s">
        <v>76</v>
      </c>
      <c r="D13" s="747" t="s">
        <v>77</v>
      </c>
      <c r="E13" s="747">
        <v>17</v>
      </c>
      <c r="F13" s="747">
        <v>60</v>
      </c>
      <c r="G13" s="747">
        <v>1080</v>
      </c>
      <c r="H13" s="748">
        <v>110.512</v>
      </c>
    </row>
    <row r="14" spans="1:8" ht="20.100000000000001" customHeight="1" x14ac:dyDescent="0.25">
      <c r="A14" s="472"/>
      <c r="B14" s="473"/>
      <c r="C14" s="749"/>
      <c r="D14" s="750"/>
      <c r="E14" s="749"/>
      <c r="F14" s="749"/>
      <c r="G14" s="749"/>
      <c r="H14" s="751"/>
    </row>
    <row r="15" spans="1:8" ht="19.5" customHeight="1" thickBot="1" x14ac:dyDescent="0.3">
      <c r="A15" s="469"/>
      <c r="B15" s="471"/>
      <c r="C15" s="752"/>
      <c r="D15" s="750"/>
      <c r="E15" s="752"/>
      <c r="F15" s="749"/>
      <c r="G15" s="752"/>
      <c r="H15" s="753"/>
    </row>
    <row r="16" spans="1:8" ht="30" customHeight="1" x14ac:dyDescent="0.25">
      <c r="A16" s="468">
        <v>6</v>
      </c>
      <c r="B16" s="470" t="s">
        <v>78</v>
      </c>
      <c r="C16" s="747" t="s">
        <v>76</v>
      </c>
      <c r="D16" s="747" t="s">
        <v>79</v>
      </c>
      <c r="E16" s="747">
        <v>19</v>
      </c>
      <c r="F16" s="747">
        <v>40</v>
      </c>
      <c r="G16" s="747">
        <v>960</v>
      </c>
      <c r="H16" s="748">
        <v>129.45999999999998</v>
      </c>
    </row>
    <row r="17" spans="1:8" ht="30" customHeight="1" thickBot="1" x14ac:dyDescent="0.3">
      <c r="A17" s="469"/>
      <c r="B17" s="471"/>
      <c r="C17" s="752"/>
      <c r="D17" s="754"/>
      <c r="E17" s="752"/>
      <c r="F17" s="749"/>
      <c r="G17" s="752"/>
      <c r="H17" s="753"/>
    </row>
    <row r="18" spans="1:8" ht="20.100000000000001" customHeight="1" x14ac:dyDescent="0.25">
      <c r="A18" s="468">
        <v>8</v>
      </c>
      <c r="B18" s="470" t="s">
        <v>80</v>
      </c>
      <c r="C18" s="747" t="s">
        <v>81</v>
      </c>
      <c r="D18" s="747" t="s">
        <v>82</v>
      </c>
      <c r="E18" s="747">
        <v>22</v>
      </c>
      <c r="F18" s="749"/>
      <c r="G18" s="747">
        <v>800</v>
      </c>
      <c r="H18" s="748">
        <v>147.83000000000001</v>
      </c>
    </row>
    <row r="19" spans="1:8" ht="20.100000000000001" customHeight="1" x14ac:dyDescent="0.25">
      <c r="A19" s="472"/>
      <c r="B19" s="473"/>
      <c r="C19" s="749"/>
      <c r="D19" s="755"/>
      <c r="E19" s="749"/>
      <c r="F19" s="749"/>
      <c r="G19" s="749"/>
      <c r="H19" s="751"/>
    </row>
    <row r="20" spans="1:8" ht="20.100000000000001" customHeight="1" thickBot="1" x14ac:dyDescent="0.3">
      <c r="A20" s="469"/>
      <c r="B20" s="471"/>
      <c r="C20" s="752"/>
      <c r="D20" s="754"/>
      <c r="E20" s="752"/>
      <c r="F20" s="752"/>
      <c r="G20" s="752"/>
      <c r="H20" s="753"/>
    </row>
    <row r="21" spans="1:8" ht="20.100000000000001" customHeight="1" x14ac:dyDescent="0.25">
      <c r="A21" s="468">
        <v>11</v>
      </c>
      <c r="B21" s="470" t="s">
        <v>83</v>
      </c>
      <c r="C21" s="747" t="s">
        <v>84</v>
      </c>
      <c r="D21" s="747" t="s">
        <v>85</v>
      </c>
      <c r="E21" s="747">
        <v>13</v>
      </c>
      <c r="F21" s="747">
        <v>72</v>
      </c>
      <c r="G21" s="747">
        <v>1440</v>
      </c>
      <c r="H21" s="748">
        <v>68.634</v>
      </c>
    </row>
    <row r="22" spans="1:8" ht="20.100000000000001" customHeight="1" x14ac:dyDescent="0.25">
      <c r="A22" s="472"/>
      <c r="B22" s="473"/>
      <c r="C22" s="749"/>
      <c r="D22" s="755"/>
      <c r="E22" s="749"/>
      <c r="F22" s="749"/>
      <c r="G22" s="749"/>
      <c r="H22" s="751"/>
    </row>
    <row r="23" spans="1:8" ht="20.100000000000001" customHeight="1" thickBot="1" x14ac:dyDescent="0.3">
      <c r="A23" s="469"/>
      <c r="B23" s="471"/>
      <c r="C23" s="752"/>
      <c r="D23" s="754"/>
      <c r="E23" s="752"/>
      <c r="F23" s="752"/>
      <c r="G23" s="752"/>
      <c r="H23" s="753"/>
    </row>
    <row r="24" spans="1:8" ht="20.100000000000001" customHeight="1" x14ac:dyDescent="0.25">
      <c r="A24" s="468">
        <v>12</v>
      </c>
      <c r="B24" s="470" t="s">
        <v>86</v>
      </c>
      <c r="C24" s="747" t="s">
        <v>87</v>
      </c>
      <c r="D24" s="747" t="s">
        <v>88</v>
      </c>
      <c r="E24" s="747">
        <v>9.5</v>
      </c>
      <c r="F24" s="747">
        <v>108</v>
      </c>
      <c r="G24" s="747">
        <v>2160</v>
      </c>
      <c r="H24" s="748">
        <v>83.66</v>
      </c>
    </row>
    <row r="25" spans="1:8" ht="20.100000000000001" customHeight="1" x14ac:dyDescent="0.25">
      <c r="A25" s="472"/>
      <c r="B25" s="473"/>
      <c r="C25" s="749"/>
      <c r="D25" s="755"/>
      <c r="E25" s="749"/>
      <c r="F25" s="749"/>
      <c r="G25" s="749"/>
      <c r="H25" s="751"/>
    </row>
    <row r="26" spans="1:8" ht="20.100000000000001" customHeight="1" thickBot="1" x14ac:dyDescent="0.3">
      <c r="A26" s="469"/>
      <c r="B26" s="471"/>
      <c r="C26" s="752"/>
      <c r="D26" s="754"/>
      <c r="E26" s="752"/>
      <c r="F26" s="752"/>
      <c r="G26" s="752"/>
      <c r="H26" s="753"/>
    </row>
    <row r="27" spans="1:8" ht="20.100000000000001" customHeight="1" x14ac:dyDescent="0.25">
      <c r="A27" s="468">
        <v>13</v>
      </c>
      <c r="B27" s="470" t="s">
        <v>89</v>
      </c>
      <c r="C27" s="747" t="s">
        <v>81</v>
      </c>
      <c r="D27" s="747" t="s">
        <v>82</v>
      </c>
      <c r="E27" s="747">
        <v>13</v>
      </c>
      <c r="F27" s="747">
        <v>72</v>
      </c>
      <c r="G27" s="747">
        <v>1440</v>
      </c>
      <c r="H27" s="748">
        <v>113.346</v>
      </c>
    </row>
    <row r="28" spans="1:8" ht="20.100000000000001" customHeight="1" x14ac:dyDescent="0.25">
      <c r="A28" s="472"/>
      <c r="B28" s="473"/>
      <c r="C28" s="749"/>
      <c r="D28" s="755"/>
      <c r="E28" s="749"/>
      <c r="F28" s="749"/>
      <c r="G28" s="749"/>
      <c r="H28" s="751"/>
    </row>
    <row r="29" spans="1:8" ht="20.100000000000001" customHeight="1" thickBot="1" x14ac:dyDescent="0.3">
      <c r="A29" s="469"/>
      <c r="B29" s="471"/>
      <c r="C29" s="752"/>
      <c r="D29" s="754"/>
      <c r="E29" s="752"/>
      <c r="F29" s="752"/>
      <c r="G29" s="752"/>
      <c r="H29" s="753"/>
    </row>
    <row r="30" spans="1:8" ht="15.75" customHeight="1" thickBot="1" x14ac:dyDescent="0.3">
      <c r="A30" s="474" t="s">
        <v>90</v>
      </c>
      <c r="B30" s="459"/>
      <c r="C30" s="459"/>
      <c r="D30" s="459"/>
      <c r="E30" s="459"/>
      <c r="F30" s="459"/>
      <c r="G30" s="459"/>
      <c r="H30" s="475"/>
    </row>
    <row r="31" spans="1:8" ht="30" customHeight="1" x14ac:dyDescent="0.25">
      <c r="A31" s="468">
        <v>1</v>
      </c>
      <c r="B31" s="476"/>
      <c r="C31" s="747" t="s">
        <v>91</v>
      </c>
      <c r="D31" s="747" t="s">
        <v>92</v>
      </c>
      <c r="E31" s="747">
        <v>20</v>
      </c>
      <c r="F31" s="747">
        <v>45</v>
      </c>
      <c r="G31" s="747">
        <v>900</v>
      </c>
      <c r="H31" s="756">
        <v>360.11</v>
      </c>
    </row>
    <row r="32" spans="1:8" ht="32.25" customHeight="1" thickBot="1" x14ac:dyDescent="0.3">
      <c r="A32" s="469"/>
      <c r="B32" s="477"/>
      <c r="C32" s="752"/>
      <c r="D32" s="752"/>
      <c r="E32" s="752"/>
      <c r="F32" s="752"/>
      <c r="G32" s="752"/>
      <c r="H32" s="757"/>
    </row>
    <row r="33" spans="1:8" ht="30" customHeight="1" x14ac:dyDescent="0.25">
      <c r="A33" s="468">
        <v>2</v>
      </c>
      <c r="B33" s="470" t="s">
        <v>93</v>
      </c>
      <c r="C33" s="747" t="s">
        <v>91</v>
      </c>
      <c r="D33" s="747" t="s">
        <v>92</v>
      </c>
      <c r="E33" s="747">
        <v>20</v>
      </c>
      <c r="F33" s="747">
        <v>45</v>
      </c>
      <c r="G33" s="747">
        <v>900</v>
      </c>
      <c r="H33" s="756">
        <v>390.11</v>
      </c>
    </row>
    <row r="34" spans="1:8" ht="30" customHeight="1" thickBot="1" x14ac:dyDescent="0.3">
      <c r="A34" s="469"/>
      <c r="B34" s="478"/>
      <c r="C34" s="752"/>
      <c r="D34" s="752"/>
      <c r="E34" s="752"/>
      <c r="F34" s="752"/>
      <c r="G34" s="752"/>
      <c r="H34" s="757"/>
    </row>
    <row r="35" spans="1:8" x14ac:dyDescent="0.25">
      <c r="A35" s="314"/>
      <c r="B35" s="17"/>
      <c r="C35" s="17"/>
      <c r="D35" s="17"/>
      <c r="E35" s="17"/>
      <c r="F35" s="17"/>
      <c r="G35" s="17"/>
      <c r="H35" s="18"/>
    </row>
    <row r="36" spans="1:8" x14ac:dyDescent="0.25">
      <c r="A36" s="314" t="s">
        <v>94</v>
      </c>
      <c r="B36" s="17"/>
      <c r="C36" s="17"/>
      <c r="D36" s="17"/>
      <c r="E36" s="17"/>
      <c r="F36" s="17"/>
      <c r="G36" s="17"/>
      <c r="H36" s="18"/>
    </row>
    <row r="37" spans="1:8" x14ac:dyDescent="0.25">
      <c r="A37" s="314" t="s">
        <v>95</v>
      </c>
      <c r="B37" s="17"/>
      <c r="C37" s="17"/>
      <c r="D37" s="17"/>
      <c r="E37" s="17"/>
      <c r="F37" s="17"/>
      <c r="G37" s="17"/>
      <c r="H37" s="18"/>
    </row>
    <row r="38" spans="1:8" ht="15.75" thickBot="1" x14ac:dyDescent="0.3">
      <c r="A38" s="314"/>
      <c r="B38" s="17"/>
      <c r="C38" s="17"/>
      <c r="D38" s="17"/>
      <c r="E38" s="17"/>
      <c r="F38" s="17"/>
      <c r="G38" s="17"/>
      <c r="H38" s="18"/>
    </row>
    <row r="39" spans="1:8" ht="50.1" customHeight="1" thickBot="1" x14ac:dyDescent="0.3">
      <c r="A39" s="482" t="s">
        <v>65</v>
      </c>
      <c r="B39" s="484" t="s">
        <v>66</v>
      </c>
      <c r="C39" s="484" t="s">
        <v>67</v>
      </c>
      <c r="D39" s="484" t="s">
        <v>68</v>
      </c>
      <c r="E39" s="484" t="s">
        <v>69</v>
      </c>
      <c r="F39" s="484" t="s">
        <v>70</v>
      </c>
      <c r="G39" s="484" t="s">
        <v>71</v>
      </c>
      <c r="H39" s="315" t="s">
        <v>72</v>
      </c>
    </row>
    <row r="40" spans="1:8" ht="50.1" customHeight="1" thickBot="1" x14ac:dyDescent="0.3">
      <c r="A40" s="483"/>
      <c r="B40" s="462"/>
      <c r="C40" s="462"/>
      <c r="D40" s="462"/>
      <c r="E40" s="462"/>
      <c r="F40" s="462"/>
      <c r="G40" s="485"/>
      <c r="H40" s="316" t="s">
        <v>73</v>
      </c>
    </row>
    <row r="41" spans="1:8" ht="15.75" customHeight="1" thickBot="1" x14ac:dyDescent="0.3">
      <c r="A41" s="474" t="s">
        <v>96</v>
      </c>
      <c r="B41" s="459"/>
      <c r="C41" s="459"/>
      <c r="D41" s="459"/>
      <c r="E41" s="459"/>
      <c r="F41" s="459"/>
      <c r="G41" s="459"/>
      <c r="H41" s="475"/>
    </row>
    <row r="42" spans="1:8" ht="30" customHeight="1" x14ac:dyDescent="0.25">
      <c r="A42" s="470">
        <v>1</v>
      </c>
      <c r="B42" s="470" t="s">
        <v>97</v>
      </c>
      <c r="C42" s="747" t="s">
        <v>84</v>
      </c>
      <c r="D42" s="756" t="s">
        <v>98</v>
      </c>
      <c r="E42" s="747">
        <v>2.4</v>
      </c>
      <c r="F42" s="758" t="s">
        <v>99</v>
      </c>
      <c r="G42" s="747" t="s">
        <v>100</v>
      </c>
      <c r="H42" s="759">
        <v>15.410000000000002</v>
      </c>
    </row>
    <row r="43" spans="1:8" ht="30" customHeight="1" thickBot="1" x14ac:dyDescent="0.3">
      <c r="A43" s="486"/>
      <c r="B43" s="478"/>
      <c r="C43" s="749"/>
      <c r="D43" s="760"/>
      <c r="E43" s="749"/>
      <c r="F43" s="761"/>
      <c r="G43" s="749"/>
      <c r="H43" s="762"/>
    </row>
    <row r="44" spans="1:8" ht="30" customHeight="1" x14ac:dyDescent="0.25">
      <c r="A44" s="470">
        <v>2</v>
      </c>
      <c r="B44" s="470" t="s">
        <v>101</v>
      </c>
      <c r="C44" s="749"/>
      <c r="D44" s="760"/>
      <c r="E44" s="749"/>
      <c r="F44" s="761"/>
      <c r="G44" s="749"/>
      <c r="H44" s="759">
        <v>15.864000000000001</v>
      </c>
    </row>
    <row r="45" spans="1:8" ht="30" customHeight="1" thickBot="1" x14ac:dyDescent="0.3">
      <c r="A45" s="486"/>
      <c r="B45" s="478"/>
      <c r="C45" s="749"/>
      <c r="D45" s="760"/>
      <c r="E45" s="749"/>
      <c r="F45" s="763"/>
      <c r="G45" s="752"/>
      <c r="H45" s="762"/>
    </row>
    <row r="46" spans="1:8" ht="30" customHeight="1" x14ac:dyDescent="0.25">
      <c r="A46" s="470">
        <v>3</v>
      </c>
      <c r="B46" s="470" t="s">
        <v>102</v>
      </c>
      <c r="C46" s="749"/>
      <c r="D46" s="760"/>
      <c r="E46" s="749"/>
      <c r="F46" s="761">
        <v>420</v>
      </c>
      <c r="G46" s="749">
        <v>8400</v>
      </c>
      <c r="H46" s="764">
        <v>15.914000000000001</v>
      </c>
    </row>
    <row r="47" spans="1:8" ht="30" customHeight="1" thickBot="1" x14ac:dyDescent="0.3">
      <c r="A47" s="486"/>
      <c r="B47" s="478"/>
      <c r="C47" s="749"/>
      <c r="D47" s="760"/>
      <c r="E47" s="749"/>
      <c r="F47" s="761"/>
      <c r="G47" s="749"/>
      <c r="H47" s="765"/>
    </row>
    <row r="48" spans="1:8" ht="30" customHeight="1" x14ac:dyDescent="0.25">
      <c r="A48" s="470">
        <v>4</v>
      </c>
      <c r="B48" s="470" t="s">
        <v>103</v>
      </c>
      <c r="C48" s="749"/>
      <c r="D48" s="760"/>
      <c r="E48" s="749"/>
      <c r="F48" s="761"/>
      <c r="G48" s="749"/>
      <c r="H48" s="765"/>
    </row>
    <row r="49" spans="1:8" ht="30" customHeight="1" thickBot="1" x14ac:dyDescent="0.3">
      <c r="A49" s="486"/>
      <c r="B49" s="478"/>
      <c r="C49" s="749"/>
      <c r="D49" s="760"/>
      <c r="E49" s="749"/>
      <c r="F49" s="761"/>
      <c r="G49" s="749"/>
      <c r="H49" s="765"/>
    </row>
    <row r="50" spans="1:8" ht="30" customHeight="1" x14ac:dyDescent="0.25">
      <c r="A50" s="470">
        <v>5</v>
      </c>
      <c r="B50" s="470" t="s">
        <v>104</v>
      </c>
      <c r="C50" s="749"/>
      <c r="D50" s="760"/>
      <c r="E50" s="749"/>
      <c r="F50" s="761"/>
      <c r="G50" s="749"/>
      <c r="H50" s="765"/>
    </row>
    <row r="51" spans="1:8" ht="30" customHeight="1" thickBot="1" x14ac:dyDescent="0.3">
      <c r="A51" s="486"/>
      <c r="B51" s="478"/>
      <c r="C51" s="749"/>
      <c r="D51" s="760"/>
      <c r="E51" s="749"/>
      <c r="F51" s="763"/>
      <c r="G51" s="752"/>
      <c r="H51" s="766"/>
    </row>
    <row r="52" spans="1:8" ht="30" customHeight="1" x14ac:dyDescent="0.25">
      <c r="A52" s="470">
        <v>6</v>
      </c>
      <c r="B52" s="470" t="s">
        <v>105</v>
      </c>
      <c r="C52" s="749"/>
      <c r="D52" s="760"/>
      <c r="E52" s="749"/>
      <c r="F52" s="747">
        <v>448</v>
      </c>
      <c r="G52" s="747">
        <v>8064</v>
      </c>
      <c r="H52" s="764">
        <v>24.902000000000001</v>
      </c>
    </row>
    <row r="53" spans="1:8" ht="30" customHeight="1" thickBot="1" x14ac:dyDescent="0.3">
      <c r="A53" s="486"/>
      <c r="B53" s="478"/>
      <c r="C53" s="749"/>
      <c r="D53" s="760"/>
      <c r="E53" s="749"/>
      <c r="F53" s="752"/>
      <c r="G53" s="752"/>
      <c r="H53" s="766"/>
    </row>
    <row r="54" spans="1:8" ht="30" customHeight="1" x14ac:dyDescent="0.25">
      <c r="A54" s="470">
        <v>7</v>
      </c>
      <c r="B54" s="470" t="s">
        <v>106</v>
      </c>
      <c r="C54" s="749"/>
      <c r="D54" s="760"/>
      <c r="E54" s="749"/>
      <c r="F54" s="747">
        <v>420</v>
      </c>
      <c r="G54" s="747">
        <v>8400</v>
      </c>
      <c r="H54" s="764">
        <v>24.842000000000002</v>
      </c>
    </row>
    <row r="55" spans="1:8" ht="30" customHeight="1" thickBot="1" x14ac:dyDescent="0.3">
      <c r="A55" s="486"/>
      <c r="B55" s="478"/>
      <c r="C55" s="749"/>
      <c r="D55" s="760"/>
      <c r="E55" s="749"/>
      <c r="F55" s="752"/>
      <c r="G55" s="752"/>
      <c r="H55" s="766"/>
    </row>
    <row r="56" spans="1:8" ht="30" customHeight="1" x14ac:dyDescent="0.25">
      <c r="A56" s="470">
        <v>8</v>
      </c>
      <c r="B56" s="470" t="s">
        <v>107</v>
      </c>
      <c r="C56" s="749"/>
      <c r="D56" s="760"/>
      <c r="E56" s="749"/>
      <c r="F56" s="747">
        <v>448</v>
      </c>
      <c r="G56" s="747">
        <v>8064</v>
      </c>
      <c r="H56" s="764">
        <v>25.693999999999999</v>
      </c>
    </row>
    <row r="57" spans="1:8" ht="30" customHeight="1" thickBot="1" x14ac:dyDescent="0.3">
      <c r="A57" s="486"/>
      <c r="B57" s="478"/>
      <c r="C57" s="749"/>
      <c r="D57" s="760"/>
      <c r="E57" s="749"/>
      <c r="F57" s="752"/>
      <c r="G57" s="752"/>
      <c r="H57" s="766"/>
    </row>
    <row r="58" spans="1:8" ht="30" customHeight="1" x14ac:dyDescent="0.25">
      <c r="A58" s="470">
        <v>9</v>
      </c>
      <c r="B58" s="487" t="s">
        <v>108</v>
      </c>
      <c r="C58" s="749"/>
      <c r="D58" s="760"/>
      <c r="E58" s="749"/>
      <c r="F58" s="747">
        <v>448</v>
      </c>
      <c r="G58" s="747">
        <v>8064</v>
      </c>
      <c r="H58" s="764">
        <v>26.197999999999997</v>
      </c>
    </row>
    <row r="59" spans="1:8" ht="50.25" customHeight="1" thickBot="1" x14ac:dyDescent="0.3">
      <c r="A59" s="486"/>
      <c r="B59" s="488"/>
      <c r="C59" s="749"/>
      <c r="D59" s="760"/>
      <c r="E59" s="749"/>
      <c r="F59" s="752"/>
      <c r="G59" s="752"/>
      <c r="H59" s="766"/>
    </row>
    <row r="60" spans="1:8" ht="30" customHeight="1" x14ac:dyDescent="0.25">
      <c r="A60" s="470">
        <v>10</v>
      </c>
      <c r="B60" s="470" t="s">
        <v>109</v>
      </c>
      <c r="C60" s="749"/>
      <c r="D60" s="760"/>
      <c r="E60" s="749"/>
      <c r="F60" s="747">
        <v>480</v>
      </c>
      <c r="G60" s="747">
        <v>8640</v>
      </c>
      <c r="H60" s="764">
        <v>23.687999999999999</v>
      </c>
    </row>
    <row r="61" spans="1:8" ht="30" customHeight="1" thickBot="1" x14ac:dyDescent="0.3">
      <c r="A61" s="486"/>
      <c r="B61" s="478"/>
      <c r="C61" s="749"/>
      <c r="D61" s="760"/>
      <c r="E61" s="749"/>
      <c r="F61" s="749"/>
      <c r="G61" s="749"/>
      <c r="H61" s="766"/>
    </row>
    <row r="62" spans="1:8" ht="30" customHeight="1" x14ac:dyDescent="0.25">
      <c r="A62" s="470">
        <v>11</v>
      </c>
      <c r="B62" s="470" t="s">
        <v>110</v>
      </c>
      <c r="C62" s="749"/>
      <c r="D62" s="760"/>
      <c r="E62" s="749"/>
      <c r="F62" s="749"/>
      <c r="G62" s="749"/>
      <c r="H62" s="764">
        <v>24.228000000000002</v>
      </c>
    </row>
    <row r="63" spans="1:8" ht="30" customHeight="1" thickBot="1" x14ac:dyDescent="0.3">
      <c r="A63" s="486"/>
      <c r="B63" s="478"/>
      <c r="C63" s="749"/>
      <c r="D63" s="767"/>
      <c r="E63" s="752"/>
      <c r="F63" s="752"/>
      <c r="G63" s="752"/>
      <c r="H63" s="766"/>
    </row>
    <row r="64" spans="1:8" ht="60" customHeight="1" thickBot="1" x14ac:dyDescent="0.3">
      <c r="A64" s="33">
        <v>12</v>
      </c>
      <c r="B64" s="34" t="s">
        <v>111</v>
      </c>
      <c r="C64" s="749"/>
      <c r="D64" s="768" t="s">
        <v>112</v>
      </c>
      <c r="E64" s="747">
        <v>3.1</v>
      </c>
      <c r="F64" s="769">
        <v>352</v>
      </c>
      <c r="G64" s="769">
        <v>6336</v>
      </c>
      <c r="H64" s="770">
        <v>19.618000000000002</v>
      </c>
    </row>
    <row r="65" spans="1:8" ht="60" customHeight="1" thickBot="1" x14ac:dyDescent="0.3">
      <c r="A65" s="35">
        <v>13</v>
      </c>
      <c r="B65" s="36" t="s">
        <v>113</v>
      </c>
      <c r="C65" s="771" t="s">
        <v>114</v>
      </c>
      <c r="D65" s="772"/>
      <c r="E65" s="752"/>
      <c r="F65" s="773">
        <v>352</v>
      </c>
      <c r="G65" s="773">
        <v>6336</v>
      </c>
      <c r="H65" s="770">
        <v>20.577999999999999</v>
      </c>
    </row>
    <row r="66" spans="1:8" ht="15.75" thickBot="1" x14ac:dyDescent="0.3">
      <c r="A66" s="465"/>
      <c r="B66" s="466"/>
      <c r="C66" s="466"/>
      <c r="D66" s="466"/>
      <c r="E66" s="466"/>
      <c r="F66" s="466"/>
      <c r="G66" s="466"/>
      <c r="H66" s="467"/>
    </row>
  </sheetData>
  <mergeCells count="133">
    <mergeCell ref="D64:D65"/>
    <mergeCell ref="E64:E65"/>
    <mergeCell ref="A60:A61"/>
    <mergeCell ref="B60:B61"/>
    <mergeCell ref="F60:F63"/>
    <mergeCell ref="G60:G63"/>
    <mergeCell ref="H60:H61"/>
    <mergeCell ref="A62:A63"/>
    <mergeCell ref="B62:B63"/>
    <mergeCell ref="H62:H63"/>
    <mergeCell ref="G54:G55"/>
    <mergeCell ref="H54:H55"/>
    <mergeCell ref="A52:A53"/>
    <mergeCell ref="B52:B53"/>
    <mergeCell ref="F52:F53"/>
    <mergeCell ref="G52:G53"/>
    <mergeCell ref="H52:H53"/>
    <mergeCell ref="A58:A59"/>
    <mergeCell ref="B58:B59"/>
    <mergeCell ref="F58:F59"/>
    <mergeCell ref="G58:G59"/>
    <mergeCell ref="H58:H59"/>
    <mergeCell ref="A56:A57"/>
    <mergeCell ref="B56:B57"/>
    <mergeCell ref="F56:F57"/>
    <mergeCell ref="G56:G57"/>
    <mergeCell ref="H56:H57"/>
    <mergeCell ref="H46:H51"/>
    <mergeCell ref="A48:A49"/>
    <mergeCell ref="B48:B49"/>
    <mergeCell ref="A50:A51"/>
    <mergeCell ref="B50:B51"/>
    <mergeCell ref="A41:H41"/>
    <mergeCell ref="A42:A43"/>
    <mergeCell ref="B42:B43"/>
    <mergeCell ref="C42:C64"/>
    <mergeCell ref="D42:D63"/>
    <mergeCell ref="E42:E63"/>
    <mergeCell ref="F42:F45"/>
    <mergeCell ref="G42:G45"/>
    <mergeCell ref="H42:H43"/>
    <mergeCell ref="A44:A45"/>
    <mergeCell ref="B44:B45"/>
    <mergeCell ref="H44:H45"/>
    <mergeCell ref="A46:A47"/>
    <mergeCell ref="B46:B47"/>
    <mergeCell ref="F46:F51"/>
    <mergeCell ref="G46:G51"/>
    <mergeCell ref="A54:A55"/>
    <mergeCell ref="B54:B55"/>
    <mergeCell ref="F54:F55"/>
    <mergeCell ref="F33:F34"/>
    <mergeCell ref="G33:G34"/>
    <mergeCell ref="H33:H34"/>
    <mergeCell ref="A39:A40"/>
    <mergeCell ref="B39:B40"/>
    <mergeCell ref="C39:C40"/>
    <mergeCell ref="D39:D40"/>
    <mergeCell ref="E39:E40"/>
    <mergeCell ref="F39:F40"/>
    <mergeCell ref="G39:G40"/>
    <mergeCell ref="A33:A34"/>
    <mergeCell ref="B33:B34"/>
    <mergeCell ref="C33:C34"/>
    <mergeCell ref="D33:D34"/>
    <mergeCell ref="E33:E34"/>
    <mergeCell ref="G24:G26"/>
    <mergeCell ref="H24:H26"/>
    <mergeCell ref="A27:A29"/>
    <mergeCell ref="B27:B29"/>
    <mergeCell ref="C27:C29"/>
    <mergeCell ref="D27:D29"/>
    <mergeCell ref="E27:E29"/>
    <mergeCell ref="F27:F29"/>
    <mergeCell ref="G27:G29"/>
    <mergeCell ref="H27:H29"/>
    <mergeCell ref="B24:B26"/>
    <mergeCell ref="C24:C26"/>
    <mergeCell ref="D24:D26"/>
    <mergeCell ref="E24:E26"/>
    <mergeCell ref="F24:F26"/>
    <mergeCell ref="A24:A26"/>
    <mergeCell ref="D16:D17"/>
    <mergeCell ref="E16:E17"/>
    <mergeCell ref="F16:F20"/>
    <mergeCell ref="G16:G17"/>
    <mergeCell ref="H16:H17"/>
    <mergeCell ref="D18:D20"/>
    <mergeCell ref="E18:E20"/>
    <mergeCell ref="G18:G20"/>
    <mergeCell ref="H18:H20"/>
    <mergeCell ref="A9:B9"/>
    <mergeCell ref="G8:H8"/>
    <mergeCell ref="A10:A11"/>
    <mergeCell ref="B10:B11"/>
    <mergeCell ref="C10:C11"/>
    <mergeCell ref="D10:D11"/>
    <mergeCell ref="E10:E11"/>
    <mergeCell ref="F10:F11"/>
    <mergeCell ref="G10:G11"/>
    <mergeCell ref="A12:H12"/>
    <mergeCell ref="A13:A15"/>
    <mergeCell ref="B13:B15"/>
    <mergeCell ref="C13:C15"/>
    <mergeCell ref="D13:D15"/>
    <mergeCell ref="E13:E15"/>
    <mergeCell ref="F13:F15"/>
    <mergeCell ref="G13:G15"/>
    <mergeCell ref="H13:H15"/>
    <mergeCell ref="A66:H66"/>
    <mergeCell ref="A16:A17"/>
    <mergeCell ref="B16:B17"/>
    <mergeCell ref="C16:C17"/>
    <mergeCell ref="A18:A20"/>
    <mergeCell ref="B18:B20"/>
    <mergeCell ref="C18:C20"/>
    <mergeCell ref="A21:A23"/>
    <mergeCell ref="B21:B23"/>
    <mergeCell ref="C21:C23"/>
    <mergeCell ref="A30:H30"/>
    <mergeCell ref="A31:A32"/>
    <mergeCell ref="B31:B32"/>
    <mergeCell ref="C31:C32"/>
    <mergeCell ref="D31:D32"/>
    <mergeCell ref="E31:E32"/>
    <mergeCell ref="F31:F32"/>
    <mergeCell ref="G31:G32"/>
    <mergeCell ref="H31:H32"/>
    <mergeCell ref="D21:D23"/>
    <mergeCell ref="E21:E23"/>
    <mergeCell ref="F21:F23"/>
    <mergeCell ref="G21:G23"/>
    <mergeCell ref="H21:H23"/>
  </mergeCells>
  <hyperlinks>
    <hyperlink ref="B7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40"/>
  <sheetViews>
    <sheetView workbookViewId="0">
      <selection activeCell="C6" sqref="C6"/>
    </sheetView>
  </sheetViews>
  <sheetFormatPr defaultRowHeight="15" x14ac:dyDescent="0.25"/>
  <cols>
    <col min="1" max="1" width="10.85546875" customWidth="1"/>
    <col min="2" max="2" width="26.7109375" customWidth="1"/>
    <col min="3" max="3" width="17.85546875" customWidth="1"/>
    <col min="4" max="4" width="13.5703125" customWidth="1"/>
    <col min="5" max="5" width="12.28515625" customWidth="1"/>
    <col min="6" max="6" width="15.28515625" customWidth="1"/>
    <col min="7" max="7" width="11.140625" customWidth="1"/>
    <col min="8" max="8" width="13.28515625" customWidth="1"/>
    <col min="9" max="9" width="17.7109375" customWidth="1"/>
    <col min="10" max="10" width="30.28515625" customWidth="1"/>
    <col min="11" max="11" width="9.140625" style="202"/>
    <col min="257" max="257" width="10.85546875" customWidth="1"/>
    <col min="258" max="258" width="19.140625" customWidth="1"/>
    <col min="259" max="259" width="14" customWidth="1"/>
    <col min="260" max="260" width="9.7109375" customWidth="1"/>
    <col min="261" max="261" width="9.85546875" customWidth="1"/>
    <col min="262" max="262" width="11.85546875" customWidth="1"/>
    <col min="263" max="263" width="7.85546875" customWidth="1"/>
    <col min="264" max="264" width="6.5703125" customWidth="1"/>
    <col min="265" max="265" width="11.5703125" customWidth="1"/>
    <col min="266" max="266" width="30.28515625" customWidth="1"/>
    <col min="513" max="513" width="10.85546875" customWidth="1"/>
    <col min="514" max="514" width="19.140625" customWidth="1"/>
    <col min="515" max="515" width="14" customWidth="1"/>
    <col min="516" max="516" width="9.7109375" customWidth="1"/>
    <col min="517" max="517" width="9.85546875" customWidth="1"/>
    <col min="518" max="518" width="11.85546875" customWidth="1"/>
    <col min="519" max="519" width="7.85546875" customWidth="1"/>
    <col min="520" max="520" width="6.5703125" customWidth="1"/>
    <col min="521" max="521" width="11.5703125" customWidth="1"/>
    <col min="522" max="522" width="30.28515625" customWidth="1"/>
    <col min="769" max="769" width="10.85546875" customWidth="1"/>
    <col min="770" max="770" width="19.140625" customWidth="1"/>
    <col min="771" max="771" width="14" customWidth="1"/>
    <col min="772" max="772" width="9.7109375" customWidth="1"/>
    <col min="773" max="773" width="9.85546875" customWidth="1"/>
    <col min="774" max="774" width="11.85546875" customWidth="1"/>
    <col min="775" max="775" width="7.85546875" customWidth="1"/>
    <col min="776" max="776" width="6.5703125" customWidth="1"/>
    <col min="777" max="777" width="11.5703125" customWidth="1"/>
    <col min="778" max="778" width="30.28515625" customWidth="1"/>
    <col min="1025" max="1025" width="10.85546875" customWidth="1"/>
    <col min="1026" max="1026" width="19.140625" customWidth="1"/>
    <col min="1027" max="1027" width="14" customWidth="1"/>
    <col min="1028" max="1028" width="9.7109375" customWidth="1"/>
    <col min="1029" max="1029" width="9.85546875" customWidth="1"/>
    <col min="1030" max="1030" width="11.85546875" customWidth="1"/>
    <col min="1031" max="1031" width="7.85546875" customWidth="1"/>
    <col min="1032" max="1032" width="6.5703125" customWidth="1"/>
    <col min="1033" max="1033" width="11.5703125" customWidth="1"/>
    <col min="1034" max="1034" width="30.28515625" customWidth="1"/>
    <col min="1281" max="1281" width="10.85546875" customWidth="1"/>
    <col min="1282" max="1282" width="19.140625" customWidth="1"/>
    <col min="1283" max="1283" width="14" customWidth="1"/>
    <col min="1284" max="1284" width="9.7109375" customWidth="1"/>
    <col min="1285" max="1285" width="9.85546875" customWidth="1"/>
    <col min="1286" max="1286" width="11.85546875" customWidth="1"/>
    <col min="1287" max="1287" width="7.85546875" customWidth="1"/>
    <col min="1288" max="1288" width="6.5703125" customWidth="1"/>
    <col min="1289" max="1289" width="11.5703125" customWidth="1"/>
    <col min="1290" max="1290" width="30.28515625" customWidth="1"/>
    <col min="1537" max="1537" width="10.85546875" customWidth="1"/>
    <col min="1538" max="1538" width="19.140625" customWidth="1"/>
    <col min="1539" max="1539" width="14" customWidth="1"/>
    <col min="1540" max="1540" width="9.7109375" customWidth="1"/>
    <col min="1541" max="1541" width="9.85546875" customWidth="1"/>
    <col min="1542" max="1542" width="11.85546875" customWidth="1"/>
    <col min="1543" max="1543" width="7.85546875" customWidth="1"/>
    <col min="1544" max="1544" width="6.5703125" customWidth="1"/>
    <col min="1545" max="1545" width="11.5703125" customWidth="1"/>
    <col min="1546" max="1546" width="30.28515625" customWidth="1"/>
    <col min="1793" max="1793" width="10.85546875" customWidth="1"/>
    <col min="1794" max="1794" width="19.140625" customWidth="1"/>
    <col min="1795" max="1795" width="14" customWidth="1"/>
    <col min="1796" max="1796" width="9.7109375" customWidth="1"/>
    <col min="1797" max="1797" width="9.85546875" customWidth="1"/>
    <col min="1798" max="1798" width="11.85546875" customWidth="1"/>
    <col min="1799" max="1799" width="7.85546875" customWidth="1"/>
    <col min="1800" max="1800" width="6.5703125" customWidth="1"/>
    <col min="1801" max="1801" width="11.5703125" customWidth="1"/>
    <col min="1802" max="1802" width="30.28515625" customWidth="1"/>
    <col min="2049" max="2049" width="10.85546875" customWidth="1"/>
    <col min="2050" max="2050" width="19.140625" customWidth="1"/>
    <col min="2051" max="2051" width="14" customWidth="1"/>
    <col min="2052" max="2052" width="9.7109375" customWidth="1"/>
    <col min="2053" max="2053" width="9.85546875" customWidth="1"/>
    <col min="2054" max="2054" width="11.85546875" customWidth="1"/>
    <col min="2055" max="2055" width="7.85546875" customWidth="1"/>
    <col min="2056" max="2056" width="6.5703125" customWidth="1"/>
    <col min="2057" max="2057" width="11.5703125" customWidth="1"/>
    <col min="2058" max="2058" width="30.28515625" customWidth="1"/>
    <col min="2305" max="2305" width="10.85546875" customWidth="1"/>
    <col min="2306" max="2306" width="19.140625" customWidth="1"/>
    <col min="2307" max="2307" width="14" customWidth="1"/>
    <col min="2308" max="2308" width="9.7109375" customWidth="1"/>
    <col min="2309" max="2309" width="9.85546875" customWidth="1"/>
    <col min="2310" max="2310" width="11.85546875" customWidth="1"/>
    <col min="2311" max="2311" width="7.85546875" customWidth="1"/>
    <col min="2312" max="2312" width="6.5703125" customWidth="1"/>
    <col min="2313" max="2313" width="11.5703125" customWidth="1"/>
    <col min="2314" max="2314" width="30.28515625" customWidth="1"/>
    <col min="2561" max="2561" width="10.85546875" customWidth="1"/>
    <col min="2562" max="2562" width="19.140625" customWidth="1"/>
    <col min="2563" max="2563" width="14" customWidth="1"/>
    <col min="2564" max="2564" width="9.7109375" customWidth="1"/>
    <col min="2565" max="2565" width="9.85546875" customWidth="1"/>
    <col min="2566" max="2566" width="11.85546875" customWidth="1"/>
    <col min="2567" max="2567" width="7.85546875" customWidth="1"/>
    <col min="2568" max="2568" width="6.5703125" customWidth="1"/>
    <col min="2569" max="2569" width="11.5703125" customWidth="1"/>
    <col min="2570" max="2570" width="30.28515625" customWidth="1"/>
    <col min="2817" max="2817" width="10.85546875" customWidth="1"/>
    <col min="2818" max="2818" width="19.140625" customWidth="1"/>
    <col min="2819" max="2819" width="14" customWidth="1"/>
    <col min="2820" max="2820" width="9.7109375" customWidth="1"/>
    <col min="2821" max="2821" width="9.85546875" customWidth="1"/>
    <col min="2822" max="2822" width="11.85546875" customWidth="1"/>
    <col min="2823" max="2823" width="7.85546875" customWidth="1"/>
    <col min="2824" max="2824" width="6.5703125" customWidth="1"/>
    <col min="2825" max="2825" width="11.5703125" customWidth="1"/>
    <col min="2826" max="2826" width="30.28515625" customWidth="1"/>
    <col min="3073" max="3073" width="10.85546875" customWidth="1"/>
    <col min="3074" max="3074" width="19.140625" customWidth="1"/>
    <col min="3075" max="3075" width="14" customWidth="1"/>
    <col min="3076" max="3076" width="9.7109375" customWidth="1"/>
    <col min="3077" max="3077" width="9.85546875" customWidth="1"/>
    <col min="3078" max="3078" width="11.85546875" customWidth="1"/>
    <col min="3079" max="3079" width="7.85546875" customWidth="1"/>
    <col min="3080" max="3080" width="6.5703125" customWidth="1"/>
    <col min="3081" max="3081" width="11.5703125" customWidth="1"/>
    <col min="3082" max="3082" width="30.28515625" customWidth="1"/>
    <col min="3329" max="3329" width="10.85546875" customWidth="1"/>
    <col min="3330" max="3330" width="19.140625" customWidth="1"/>
    <col min="3331" max="3331" width="14" customWidth="1"/>
    <col min="3332" max="3332" width="9.7109375" customWidth="1"/>
    <col min="3333" max="3333" width="9.85546875" customWidth="1"/>
    <col min="3334" max="3334" width="11.85546875" customWidth="1"/>
    <col min="3335" max="3335" width="7.85546875" customWidth="1"/>
    <col min="3336" max="3336" width="6.5703125" customWidth="1"/>
    <col min="3337" max="3337" width="11.5703125" customWidth="1"/>
    <col min="3338" max="3338" width="30.28515625" customWidth="1"/>
    <col min="3585" max="3585" width="10.85546875" customWidth="1"/>
    <col min="3586" max="3586" width="19.140625" customWidth="1"/>
    <col min="3587" max="3587" width="14" customWidth="1"/>
    <col min="3588" max="3588" width="9.7109375" customWidth="1"/>
    <col min="3589" max="3589" width="9.85546875" customWidth="1"/>
    <col min="3590" max="3590" width="11.85546875" customWidth="1"/>
    <col min="3591" max="3591" width="7.85546875" customWidth="1"/>
    <col min="3592" max="3592" width="6.5703125" customWidth="1"/>
    <col min="3593" max="3593" width="11.5703125" customWidth="1"/>
    <col min="3594" max="3594" width="30.28515625" customWidth="1"/>
    <col min="3841" max="3841" width="10.85546875" customWidth="1"/>
    <col min="3842" max="3842" width="19.140625" customWidth="1"/>
    <col min="3843" max="3843" width="14" customWidth="1"/>
    <col min="3844" max="3844" width="9.7109375" customWidth="1"/>
    <col min="3845" max="3845" width="9.85546875" customWidth="1"/>
    <col min="3846" max="3846" width="11.85546875" customWidth="1"/>
    <col min="3847" max="3847" width="7.85546875" customWidth="1"/>
    <col min="3848" max="3848" width="6.5703125" customWidth="1"/>
    <col min="3849" max="3849" width="11.5703125" customWidth="1"/>
    <col min="3850" max="3850" width="30.28515625" customWidth="1"/>
    <col min="4097" max="4097" width="10.85546875" customWidth="1"/>
    <col min="4098" max="4098" width="19.140625" customWidth="1"/>
    <col min="4099" max="4099" width="14" customWidth="1"/>
    <col min="4100" max="4100" width="9.7109375" customWidth="1"/>
    <col min="4101" max="4101" width="9.85546875" customWidth="1"/>
    <col min="4102" max="4102" width="11.85546875" customWidth="1"/>
    <col min="4103" max="4103" width="7.85546875" customWidth="1"/>
    <col min="4104" max="4104" width="6.5703125" customWidth="1"/>
    <col min="4105" max="4105" width="11.5703125" customWidth="1"/>
    <col min="4106" max="4106" width="30.28515625" customWidth="1"/>
    <col min="4353" max="4353" width="10.85546875" customWidth="1"/>
    <col min="4354" max="4354" width="19.140625" customWidth="1"/>
    <col min="4355" max="4355" width="14" customWidth="1"/>
    <col min="4356" max="4356" width="9.7109375" customWidth="1"/>
    <col min="4357" max="4357" width="9.85546875" customWidth="1"/>
    <col min="4358" max="4358" width="11.85546875" customWidth="1"/>
    <col min="4359" max="4359" width="7.85546875" customWidth="1"/>
    <col min="4360" max="4360" width="6.5703125" customWidth="1"/>
    <col min="4361" max="4361" width="11.5703125" customWidth="1"/>
    <col min="4362" max="4362" width="30.28515625" customWidth="1"/>
    <col min="4609" max="4609" width="10.85546875" customWidth="1"/>
    <col min="4610" max="4610" width="19.140625" customWidth="1"/>
    <col min="4611" max="4611" width="14" customWidth="1"/>
    <col min="4612" max="4612" width="9.7109375" customWidth="1"/>
    <col min="4613" max="4613" width="9.85546875" customWidth="1"/>
    <col min="4614" max="4614" width="11.85546875" customWidth="1"/>
    <col min="4615" max="4615" width="7.85546875" customWidth="1"/>
    <col min="4616" max="4616" width="6.5703125" customWidth="1"/>
    <col min="4617" max="4617" width="11.5703125" customWidth="1"/>
    <col min="4618" max="4618" width="30.28515625" customWidth="1"/>
    <col min="4865" max="4865" width="10.85546875" customWidth="1"/>
    <col min="4866" max="4866" width="19.140625" customWidth="1"/>
    <col min="4867" max="4867" width="14" customWidth="1"/>
    <col min="4868" max="4868" width="9.7109375" customWidth="1"/>
    <col min="4869" max="4869" width="9.85546875" customWidth="1"/>
    <col min="4870" max="4870" width="11.85546875" customWidth="1"/>
    <col min="4871" max="4871" width="7.85546875" customWidth="1"/>
    <col min="4872" max="4872" width="6.5703125" customWidth="1"/>
    <col min="4873" max="4873" width="11.5703125" customWidth="1"/>
    <col min="4874" max="4874" width="30.28515625" customWidth="1"/>
    <col min="5121" max="5121" width="10.85546875" customWidth="1"/>
    <col min="5122" max="5122" width="19.140625" customWidth="1"/>
    <col min="5123" max="5123" width="14" customWidth="1"/>
    <col min="5124" max="5124" width="9.7109375" customWidth="1"/>
    <col min="5125" max="5125" width="9.85546875" customWidth="1"/>
    <col min="5126" max="5126" width="11.85546875" customWidth="1"/>
    <col min="5127" max="5127" width="7.85546875" customWidth="1"/>
    <col min="5128" max="5128" width="6.5703125" customWidth="1"/>
    <col min="5129" max="5129" width="11.5703125" customWidth="1"/>
    <col min="5130" max="5130" width="30.28515625" customWidth="1"/>
    <col min="5377" max="5377" width="10.85546875" customWidth="1"/>
    <col min="5378" max="5378" width="19.140625" customWidth="1"/>
    <col min="5379" max="5379" width="14" customWidth="1"/>
    <col min="5380" max="5380" width="9.7109375" customWidth="1"/>
    <col min="5381" max="5381" width="9.85546875" customWidth="1"/>
    <col min="5382" max="5382" width="11.85546875" customWidth="1"/>
    <col min="5383" max="5383" width="7.85546875" customWidth="1"/>
    <col min="5384" max="5384" width="6.5703125" customWidth="1"/>
    <col min="5385" max="5385" width="11.5703125" customWidth="1"/>
    <col min="5386" max="5386" width="30.28515625" customWidth="1"/>
    <col min="5633" max="5633" width="10.85546875" customWidth="1"/>
    <col min="5634" max="5634" width="19.140625" customWidth="1"/>
    <col min="5635" max="5635" width="14" customWidth="1"/>
    <col min="5636" max="5636" width="9.7109375" customWidth="1"/>
    <col min="5637" max="5637" width="9.85546875" customWidth="1"/>
    <col min="5638" max="5638" width="11.85546875" customWidth="1"/>
    <col min="5639" max="5639" width="7.85546875" customWidth="1"/>
    <col min="5640" max="5640" width="6.5703125" customWidth="1"/>
    <col min="5641" max="5641" width="11.5703125" customWidth="1"/>
    <col min="5642" max="5642" width="30.28515625" customWidth="1"/>
    <col min="5889" max="5889" width="10.85546875" customWidth="1"/>
    <col min="5890" max="5890" width="19.140625" customWidth="1"/>
    <col min="5891" max="5891" width="14" customWidth="1"/>
    <col min="5892" max="5892" width="9.7109375" customWidth="1"/>
    <col min="5893" max="5893" width="9.85546875" customWidth="1"/>
    <col min="5894" max="5894" width="11.85546875" customWidth="1"/>
    <col min="5895" max="5895" width="7.85546875" customWidth="1"/>
    <col min="5896" max="5896" width="6.5703125" customWidth="1"/>
    <col min="5897" max="5897" width="11.5703125" customWidth="1"/>
    <col min="5898" max="5898" width="30.28515625" customWidth="1"/>
    <col min="6145" max="6145" width="10.85546875" customWidth="1"/>
    <col min="6146" max="6146" width="19.140625" customWidth="1"/>
    <col min="6147" max="6147" width="14" customWidth="1"/>
    <col min="6148" max="6148" width="9.7109375" customWidth="1"/>
    <col min="6149" max="6149" width="9.85546875" customWidth="1"/>
    <col min="6150" max="6150" width="11.85546875" customWidth="1"/>
    <col min="6151" max="6151" width="7.85546875" customWidth="1"/>
    <col min="6152" max="6152" width="6.5703125" customWidth="1"/>
    <col min="6153" max="6153" width="11.5703125" customWidth="1"/>
    <col min="6154" max="6154" width="30.28515625" customWidth="1"/>
    <col min="6401" max="6401" width="10.85546875" customWidth="1"/>
    <col min="6402" max="6402" width="19.140625" customWidth="1"/>
    <col min="6403" max="6403" width="14" customWidth="1"/>
    <col min="6404" max="6404" width="9.7109375" customWidth="1"/>
    <col min="6405" max="6405" width="9.85546875" customWidth="1"/>
    <col min="6406" max="6406" width="11.85546875" customWidth="1"/>
    <col min="6407" max="6407" width="7.85546875" customWidth="1"/>
    <col min="6408" max="6408" width="6.5703125" customWidth="1"/>
    <col min="6409" max="6409" width="11.5703125" customWidth="1"/>
    <col min="6410" max="6410" width="30.28515625" customWidth="1"/>
    <col min="6657" max="6657" width="10.85546875" customWidth="1"/>
    <col min="6658" max="6658" width="19.140625" customWidth="1"/>
    <col min="6659" max="6659" width="14" customWidth="1"/>
    <col min="6660" max="6660" width="9.7109375" customWidth="1"/>
    <col min="6661" max="6661" width="9.85546875" customWidth="1"/>
    <col min="6662" max="6662" width="11.85546875" customWidth="1"/>
    <col min="6663" max="6663" width="7.85546875" customWidth="1"/>
    <col min="6664" max="6664" width="6.5703125" customWidth="1"/>
    <col min="6665" max="6665" width="11.5703125" customWidth="1"/>
    <col min="6666" max="6666" width="30.28515625" customWidth="1"/>
    <col min="6913" max="6913" width="10.85546875" customWidth="1"/>
    <col min="6914" max="6914" width="19.140625" customWidth="1"/>
    <col min="6915" max="6915" width="14" customWidth="1"/>
    <col min="6916" max="6916" width="9.7109375" customWidth="1"/>
    <col min="6917" max="6917" width="9.85546875" customWidth="1"/>
    <col min="6918" max="6918" width="11.85546875" customWidth="1"/>
    <col min="6919" max="6919" width="7.85546875" customWidth="1"/>
    <col min="6920" max="6920" width="6.5703125" customWidth="1"/>
    <col min="6921" max="6921" width="11.5703125" customWidth="1"/>
    <col min="6922" max="6922" width="30.28515625" customWidth="1"/>
    <col min="7169" max="7169" width="10.85546875" customWidth="1"/>
    <col min="7170" max="7170" width="19.140625" customWidth="1"/>
    <col min="7171" max="7171" width="14" customWidth="1"/>
    <col min="7172" max="7172" width="9.7109375" customWidth="1"/>
    <col min="7173" max="7173" width="9.85546875" customWidth="1"/>
    <col min="7174" max="7174" width="11.85546875" customWidth="1"/>
    <col min="7175" max="7175" width="7.85546875" customWidth="1"/>
    <col min="7176" max="7176" width="6.5703125" customWidth="1"/>
    <col min="7177" max="7177" width="11.5703125" customWidth="1"/>
    <col min="7178" max="7178" width="30.28515625" customWidth="1"/>
    <col min="7425" max="7425" width="10.85546875" customWidth="1"/>
    <col min="7426" max="7426" width="19.140625" customWidth="1"/>
    <col min="7427" max="7427" width="14" customWidth="1"/>
    <col min="7428" max="7428" width="9.7109375" customWidth="1"/>
    <col min="7429" max="7429" width="9.85546875" customWidth="1"/>
    <col min="7430" max="7430" width="11.85546875" customWidth="1"/>
    <col min="7431" max="7431" width="7.85546875" customWidth="1"/>
    <col min="7432" max="7432" width="6.5703125" customWidth="1"/>
    <col min="7433" max="7433" width="11.5703125" customWidth="1"/>
    <col min="7434" max="7434" width="30.28515625" customWidth="1"/>
    <col min="7681" max="7681" width="10.85546875" customWidth="1"/>
    <col min="7682" max="7682" width="19.140625" customWidth="1"/>
    <col min="7683" max="7683" width="14" customWidth="1"/>
    <col min="7684" max="7684" width="9.7109375" customWidth="1"/>
    <col min="7685" max="7685" width="9.85546875" customWidth="1"/>
    <col min="7686" max="7686" width="11.85546875" customWidth="1"/>
    <col min="7687" max="7687" width="7.85546875" customWidth="1"/>
    <col min="7688" max="7688" width="6.5703125" customWidth="1"/>
    <col min="7689" max="7689" width="11.5703125" customWidth="1"/>
    <col min="7690" max="7690" width="30.28515625" customWidth="1"/>
    <col min="7937" max="7937" width="10.85546875" customWidth="1"/>
    <col min="7938" max="7938" width="19.140625" customWidth="1"/>
    <col min="7939" max="7939" width="14" customWidth="1"/>
    <col min="7940" max="7940" width="9.7109375" customWidth="1"/>
    <col min="7941" max="7941" width="9.85546875" customWidth="1"/>
    <col min="7942" max="7942" width="11.85546875" customWidth="1"/>
    <col min="7943" max="7943" width="7.85546875" customWidth="1"/>
    <col min="7944" max="7944" width="6.5703125" customWidth="1"/>
    <col min="7945" max="7945" width="11.5703125" customWidth="1"/>
    <col min="7946" max="7946" width="30.28515625" customWidth="1"/>
    <col min="8193" max="8193" width="10.85546875" customWidth="1"/>
    <col min="8194" max="8194" width="19.140625" customWidth="1"/>
    <col min="8195" max="8195" width="14" customWidth="1"/>
    <col min="8196" max="8196" width="9.7109375" customWidth="1"/>
    <col min="8197" max="8197" width="9.85546875" customWidth="1"/>
    <col min="8198" max="8198" width="11.85546875" customWidth="1"/>
    <col min="8199" max="8199" width="7.85546875" customWidth="1"/>
    <col min="8200" max="8200" width="6.5703125" customWidth="1"/>
    <col min="8201" max="8201" width="11.5703125" customWidth="1"/>
    <col min="8202" max="8202" width="30.28515625" customWidth="1"/>
    <col min="8449" max="8449" width="10.85546875" customWidth="1"/>
    <col min="8450" max="8450" width="19.140625" customWidth="1"/>
    <col min="8451" max="8451" width="14" customWidth="1"/>
    <col min="8452" max="8452" width="9.7109375" customWidth="1"/>
    <col min="8453" max="8453" width="9.85546875" customWidth="1"/>
    <col min="8454" max="8454" width="11.85546875" customWidth="1"/>
    <col min="8455" max="8455" width="7.85546875" customWidth="1"/>
    <col min="8456" max="8456" width="6.5703125" customWidth="1"/>
    <col min="8457" max="8457" width="11.5703125" customWidth="1"/>
    <col min="8458" max="8458" width="30.28515625" customWidth="1"/>
    <col min="8705" max="8705" width="10.85546875" customWidth="1"/>
    <col min="8706" max="8706" width="19.140625" customWidth="1"/>
    <col min="8707" max="8707" width="14" customWidth="1"/>
    <col min="8708" max="8708" width="9.7109375" customWidth="1"/>
    <col min="8709" max="8709" width="9.85546875" customWidth="1"/>
    <col min="8710" max="8710" width="11.85546875" customWidth="1"/>
    <col min="8711" max="8711" width="7.85546875" customWidth="1"/>
    <col min="8712" max="8712" width="6.5703125" customWidth="1"/>
    <col min="8713" max="8713" width="11.5703125" customWidth="1"/>
    <col min="8714" max="8714" width="30.28515625" customWidth="1"/>
    <col min="8961" max="8961" width="10.85546875" customWidth="1"/>
    <col min="8962" max="8962" width="19.140625" customWidth="1"/>
    <col min="8963" max="8963" width="14" customWidth="1"/>
    <col min="8964" max="8964" width="9.7109375" customWidth="1"/>
    <col min="8965" max="8965" width="9.85546875" customWidth="1"/>
    <col min="8966" max="8966" width="11.85546875" customWidth="1"/>
    <col min="8967" max="8967" width="7.85546875" customWidth="1"/>
    <col min="8968" max="8968" width="6.5703125" customWidth="1"/>
    <col min="8969" max="8969" width="11.5703125" customWidth="1"/>
    <col min="8970" max="8970" width="30.28515625" customWidth="1"/>
    <col min="9217" max="9217" width="10.85546875" customWidth="1"/>
    <col min="9218" max="9218" width="19.140625" customWidth="1"/>
    <col min="9219" max="9219" width="14" customWidth="1"/>
    <col min="9220" max="9220" width="9.7109375" customWidth="1"/>
    <col min="9221" max="9221" width="9.85546875" customWidth="1"/>
    <col min="9222" max="9222" width="11.85546875" customWidth="1"/>
    <col min="9223" max="9223" width="7.85546875" customWidth="1"/>
    <col min="9224" max="9224" width="6.5703125" customWidth="1"/>
    <col min="9225" max="9225" width="11.5703125" customWidth="1"/>
    <col min="9226" max="9226" width="30.28515625" customWidth="1"/>
    <col min="9473" max="9473" width="10.85546875" customWidth="1"/>
    <col min="9474" max="9474" width="19.140625" customWidth="1"/>
    <col min="9475" max="9475" width="14" customWidth="1"/>
    <col min="9476" max="9476" width="9.7109375" customWidth="1"/>
    <col min="9477" max="9477" width="9.85546875" customWidth="1"/>
    <col min="9478" max="9478" width="11.85546875" customWidth="1"/>
    <col min="9479" max="9479" width="7.85546875" customWidth="1"/>
    <col min="9480" max="9480" width="6.5703125" customWidth="1"/>
    <col min="9481" max="9481" width="11.5703125" customWidth="1"/>
    <col min="9482" max="9482" width="30.28515625" customWidth="1"/>
    <col min="9729" max="9729" width="10.85546875" customWidth="1"/>
    <col min="9730" max="9730" width="19.140625" customWidth="1"/>
    <col min="9731" max="9731" width="14" customWidth="1"/>
    <col min="9732" max="9732" width="9.7109375" customWidth="1"/>
    <col min="9733" max="9733" width="9.85546875" customWidth="1"/>
    <col min="9734" max="9734" width="11.85546875" customWidth="1"/>
    <col min="9735" max="9735" width="7.85546875" customWidth="1"/>
    <col min="9736" max="9736" width="6.5703125" customWidth="1"/>
    <col min="9737" max="9737" width="11.5703125" customWidth="1"/>
    <col min="9738" max="9738" width="30.28515625" customWidth="1"/>
    <col min="9985" max="9985" width="10.85546875" customWidth="1"/>
    <col min="9986" max="9986" width="19.140625" customWidth="1"/>
    <col min="9987" max="9987" width="14" customWidth="1"/>
    <col min="9988" max="9988" width="9.7109375" customWidth="1"/>
    <col min="9989" max="9989" width="9.85546875" customWidth="1"/>
    <col min="9990" max="9990" width="11.85546875" customWidth="1"/>
    <col min="9991" max="9991" width="7.85546875" customWidth="1"/>
    <col min="9992" max="9992" width="6.5703125" customWidth="1"/>
    <col min="9993" max="9993" width="11.5703125" customWidth="1"/>
    <col min="9994" max="9994" width="30.28515625" customWidth="1"/>
    <col min="10241" max="10241" width="10.85546875" customWidth="1"/>
    <col min="10242" max="10242" width="19.140625" customWidth="1"/>
    <col min="10243" max="10243" width="14" customWidth="1"/>
    <col min="10244" max="10244" width="9.7109375" customWidth="1"/>
    <col min="10245" max="10245" width="9.85546875" customWidth="1"/>
    <col min="10246" max="10246" width="11.85546875" customWidth="1"/>
    <col min="10247" max="10247" width="7.85546875" customWidth="1"/>
    <col min="10248" max="10248" width="6.5703125" customWidth="1"/>
    <col min="10249" max="10249" width="11.5703125" customWidth="1"/>
    <col min="10250" max="10250" width="30.28515625" customWidth="1"/>
    <col min="10497" max="10497" width="10.85546875" customWidth="1"/>
    <col min="10498" max="10498" width="19.140625" customWidth="1"/>
    <col min="10499" max="10499" width="14" customWidth="1"/>
    <col min="10500" max="10500" width="9.7109375" customWidth="1"/>
    <col min="10501" max="10501" width="9.85546875" customWidth="1"/>
    <col min="10502" max="10502" width="11.85546875" customWidth="1"/>
    <col min="10503" max="10503" width="7.85546875" customWidth="1"/>
    <col min="10504" max="10504" width="6.5703125" customWidth="1"/>
    <col min="10505" max="10505" width="11.5703125" customWidth="1"/>
    <col min="10506" max="10506" width="30.28515625" customWidth="1"/>
    <col min="10753" max="10753" width="10.85546875" customWidth="1"/>
    <col min="10754" max="10754" width="19.140625" customWidth="1"/>
    <col min="10755" max="10755" width="14" customWidth="1"/>
    <col min="10756" max="10756" width="9.7109375" customWidth="1"/>
    <col min="10757" max="10757" width="9.85546875" customWidth="1"/>
    <col min="10758" max="10758" width="11.85546875" customWidth="1"/>
    <col min="10759" max="10759" width="7.85546875" customWidth="1"/>
    <col min="10760" max="10760" width="6.5703125" customWidth="1"/>
    <col min="10761" max="10761" width="11.5703125" customWidth="1"/>
    <col min="10762" max="10762" width="30.28515625" customWidth="1"/>
    <col min="11009" max="11009" width="10.85546875" customWidth="1"/>
    <col min="11010" max="11010" width="19.140625" customWidth="1"/>
    <col min="11011" max="11011" width="14" customWidth="1"/>
    <col min="11012" max="11012" width="9.7109375" customWidth="1"/>
    <col min="11013" max="11013" width="9.85546875" customWidth="1"/>
    <col min="11014" max="11014" width="11.85546875" customWidth="1"/>
    <col min="11015" max="11015" width="7.85546875" customWidth="1"/>
    <col min="11016" max="11016" width="6.5703125" customWidth="1"/>
    <col min="11017" max="11017" width="11.5703125" customWidth="1"/>
    <col min="11018" max="11018" width="30.28515625" customWidth="1"/>
    <col min="11265" max="11265" width="10.85546875" customWidth="1"/>
    <col min="11266" max="11266" width="19.140625" customWidth="1"/>
    <col min="11267" max="11267" width="14" customWidth="1"/>
    <col min="11268" max="11268" width="9.7109375" customWidth="1"/>
    <col min="11269" max="11269" width="9.85546875" customWidth="1"/>
    <col min="11270" max="11270" width="11.85546875" customWidth="1"/>
    <col min="11271" max="11271" width="7.85546875" customWidth="1"/>
    <col min="11272" max="11272" width="6.5703125" customWidth="1"/>
    <col min="11273" max="11273" width="11.5703125" customWidth="1"/>
    <col min="11274" max="11274" width="30.28515625" customWidth="1"/>
    <col min="11521" max="11521" width="10.85546875" customWidth="1"/>
    <col min="11522" max="11522" width="19.140625" customWidth="1"/>
    <col min="11523" max="11523" width="14" customWidth="1"/>
    <col min="11524" max="11524" width="9.7109375" customWidth="1"/>
    <col min="11525" max="11525" width="9.85546875" customWidth="1"/>
    <col min="11526" max="11526" width="11.85546875" customWidth="1"/>
    <col min="11527" max="11527" width="7.85546875" customWidth="1"/>
    <col min="11528" max="11528" width="6.5703125" customWidth="1"/>
    <col min="11529" max="11529" width="11.5703125" customWidth="1"/>
    <col min="11530" max="11530" width="30.28515625" customWidth="1"/>
    <col min="11777" max="11777" width="10.85546875" customWidth="1"/>
    <col min="11778" max="11778" width="19.140625" customWidth="1"/>
    <col min="11779" max="11779" width="14" customWidth="1"/>
    <col min="11780" max="11780" width="9.7109375" customWidth="1"/>
    <col min="11781" max="11781" width="9.85546875" customWidth="1"/>
    <col min="11782" max="11782" width="11.85546875" customWidth="1"/>
    <col min="11783" max="11783" width="7.85546875" customWidth="1"/>
    <col min="11784" max="11784" width="6.5703125" customWidth="1"/>
    <col min="11785" max="11785" width="11.5703125" customWidth="1"/>
    <col min="11786" max="11786" width="30.28515625" customWidth="1"/>
    <col min="12033" max="12033" width="10.85546875" customWidth="1"/>
    <col min="12034" max="12034" width="19.140625" customWidth="1"/>
    <col min="12035" max="12035" width="14" customWidth="1"/>
    <col min="12036" max="12036" width="9.7109375" customWidth="1"/>
    <col min="12037" max="12037" width="9.85546875" customWidth="1"/>
    <col min="12038" max="12038" width="11.85546875" customWidth="1"/>
    <col min="12039" max="12039" width="7.85546875" customWidth="1"/>
    <col min="12040" max="12040" width="6.5703125" customWidth="1"/>
    <col min="12041" max="12041" width="11.5703125" customWidth="1"/>
    <col min="12042" max="12042" width="30.28515625" customWidth="1"/>
    <col min="12289" max="12289" width="10.85546875" customWidth="1"/>
    <col min="12290" max="12290" width="19.140625" customWidth="1"/>
    <col min="12291" max="12291" width="14" customWidth="1"/>
    <col min="12292" max="12292" width="9.7109375" customWidth="1"/>
    <col min="12293" max="12293" width="9.85546875" customWidth="1"/>
    <col min="12294" max="12294" width="11.85546875" customWidth="1"/>
    <col min="12295" max="12295" width="7.85546875" customWidth="1"/>
    <col min="12296" max="12296" width="6.5703125" customWidth="1"/>
    <col min="12297" max="12297" width="11.5703125" customWidth="1"/>
    <col min="12298" max="12298" width="30.28515625" customWidth="1"/>
    <col min="12545" max="12545" width="10.85546875" customWidth="1"/>
    <col min="12546" max="12546" width="19.140625" customWidth="1"/>
    <col min="12547" max="12547" width="14" customWidth="1"/>
    <col min="12548" max="12548" width="9.7109375" customWidth="1"/>
    <col min="12549" max="12549" width="9.85546875" customWidth="1"/>
    <col min="12550" max="12550" width="11.85546875" customWidth="1"/>
    <col min="12551" max="12551" width="7.85546875" customWidth="1"/>
    <col min="12552" max="12552" width="6.5703125" customWidth="1"/>
    <col min="12553" max="12553" width="11.5703125" customWidth="1"/>
    <col min="12554" max="12554" width="30.28515625" customWidth="1"/>
    <col min="12801" max="12801" width="10.85546875" customWidth="1"/>
    <col min="12802" max="12802" width="19.140625" customWidth="1"/>
    <col min="12803" max="12803" width="14" customWidth="1"/>
    <col min="12804" max="12804" width="9.7109375" customWidth="1"/>
    <col min="12805" max="12805" width="9.85546875" customWidth="1"/>
    <col min="12806" max="12806" width="11.85546875" customWidth="1"/>
    <col min="12807" max="12807" width="7.85546875" customWidth="1"/>
    <col min="12808" max="12808" width="6.5703125" customWidth="1"/>
    <col min="12809" max="12809" width="11.5703125" customWidth="1"/>
    <col min="12810" max="12810" width="30.28515625" customWidth="1"/>
    <col min="13057" max="13057" width="10.85546875" customWidth="1"/>
    <col min="13058" max="13058" width="19.140625" customWidth="1"/>
    <col min="13059" max="13059" width="14" customWidth="1"/>
    <col min="13060" max="13060" width="9.7109375" customWidth="1"/>
    <col min="13061" max="13061" width="9.85546875" customWidth="1"/>
    <col min="13062" max="13062" width="11.85546875" customWidth="1"/>
    <col min="13063" max="13063" width="7.85546875" customWidth="1"/>
    <col min="13064" max="13064" width="6.5703125" customWidth="1"/>
    <col min="13065" max="13065" width="11.5703125" customWidth="1"/>
    <col min="13066" max="13066" width="30.28515625" customWidth="1"/>
    <col min="13313" max="13313" width="10.85546875" customWidth="1"/>
    <col min="13314" max="13314" width="19.140625" customWidth="1"/>
    <col min="13315" max="13315" width="14" customWidth="1"/>
    <col min="13316" max="13316" width="9.7109375" customWidth="1"/>
    <col min="13317" max="13317" width="9.85546875" customWidth="1"/>
    <col min="13318" max="13318" width="11.85546875" customWidth="1"/>
    <col min="13319" max="13319" width="7.85546875" customWidth="1"/>
    <col min="13320" max="13320" width="6.5703125" customWidth="1"/>
    <col min="13321" max="13321" width="11.5703125" customWidth="1"/>
    <col min="13322" max="13322" width="30.28515625" customWidth="1"/>
    <col min="13569" max="13569" width="10.85546875" customWidth="1"/>
    <col min="13570" max="13570" width="19.140625" customWidth="1"/>
    <col min="13571" max="13571" width="14" customWidth="1"/>
    <col min="13572" max="13572" width="9.7109375" customWidth="1"/>
    <col min="13573" max="13573" width="9.85546875" customWidth="1"/>
    <col min="13574" max="13574" width="11.85546875" customWidth="1"/>
    <col min="13575" max="13575" width="7.85546875" customWidth="1"/>
    <col min="13576" max="13576" width="6.5703125" customWidth="1"/>
    <col min="13577" max="13577" width="11.5703125" customWidth="1"/>
    <col min="13578" max="13578" width="30.28515625" customWidth="1"/>
    <col min="13825" max="13825" width="10.85546875" customWidth="1"/>
    <col min="13826" max="13826" width="19.140625" customWidth="1"/>
    <col min="13827" max="13827" width="14" customWidth="1"/>
    <col min="13828" max="13828" width="9.7109375" customWidth="1"/>
    <col min="13829" max="13829" width="9.85546875" customWidth="1"/>
    <col min="13830" max="13830" width="11.85546875" customWidth="1"/>
    <col min="13831" max="13831" width="7.85546875" customWidth="1"/>
    <col min="13832" max="13832" width="6.5703125" customWidth="1"/>
    <col min="13833" max="13833" width="11.5703125" customWidth="1"/>
    <col min="13834" max="13834" width="30.28515625" customWidth="1"/>
    <col min="14081" max="14081" width="10.85546875" customWidth="1"/>
    <col min="14082" max="14082" width="19.140625" customWidth="1"/>
    <col min="14083" max="14083" width="14" customWidth="1"/>
    <col min="14084" max="14084" width="9.7109375" customWidth="1"/>
    <col min="14085" max="14085" width="9.85546875" customWidth="1"/>
    <col min="14086" max="14086" width="11.85546875" customWidth="1"/>
    <col min="14087" max="14087" width="7.85546875" customWidth="1"/>
    <col min="14088" max="14088" width="6.5703125" customWidth="1"/>
    <col min="14089" max="14089" width="11.5703125" customWidth="1"/>
    <col min="14090" max="14090" width="30.28515625" customWidth="1"/>
    <col min="14337" max="14337" width="10.85546875" customWidth="1"/>
    <col min="14338" max="14338" width="19.140625" customWidth="1"/>
    <col min="14339" max="14339" width="14" customWidth="1"/>
    <col min="14340" max="14340" width="9.7109375" customWidth="1"/>
    <col min="14341" max="14341" width="9.85546875" customWidth="1"/>
    <col min="14342" max="14342" width="11.85546875" customWidth="1"/>
    <col min="14343" max="14343" width="7.85546875" customWidth="1"/>
    <col min="14344" max="14344" width="6.5703125" customWidth="1"/>
    <col min="14345" max="14345" width="11.5703125" customWidth="1"/>
    <col min="14346" max="14346" width="30.28515625" customWidth="1"/>
    <col min="14593" max="14593" width="10.85546875" customWidth="1"/>
    <col min="14594" max="14594" width="19.140625" customWidth="1"/>
    <col min="14595" max="14595" width="14" customWidth="1"/>
    <col min="14596" max="14596" width="9.7109375" customWidth="1"/>
    <col min="14597" max="14597" width="9.85546875" customWidth="1"/>
    <col min="14598" max="14598" width="11.85546875" customWidth="1"/>
    <col min="14599" max="14599" width="7.85546875" customWidth="1"/>
    <col min="14600" max="14600" width="6.5703125" customWidth="1"/>
    <col min="14601" max="14601" width="11.5703125" customWidth="1"/>
    <col min="14602" max="14602" width="30.28515625" customWidth="1"/>
    <col min="14849" max="14849" width="10.85546875" customWidth="1"/>
    <col min="14850" max="14850" width="19.140625" customWidth="1"/>
    <col min="14851" max="14851" width="14" customWidth="1"/>
    <col min="14852" max="14852" width="9.7109375" customWidth="1"/>
    <col min="14853" max="14853" width="9.85546875" customWidth="1"/>
    <col min="14854" max="14854" width="11.85546875" customWidth="1"/>
    <col min="14855" max="14855" width="7.85546875" customWidth="1"/>
    <col min="14856" max="14856" width="6.5703125" customWidth="1"/>
    <col min="14857" max="14857" width="11.5703125" customWidth="1"/>
    <col min="14858" max="14858" width="30.28515625" customWidth="1"/>
    <col min="15105" max="15105" width="10.85546875" customWidth="1"/>
    <col min="15106" max="15106" width="19.140625" customWidth="1"/>
    <col min="15107" max="15107" width="14" customWidth="1"/>
    <col min="15108" max="15108" width="9.7109375" customWidth="1"/>
    <col min="15109" max="15109" width="9.85546875" customWidth="1"/>
    <col min="15110" max="15110" width="11.85546875" customWidth="1"/>
    <col min="15111" max="15111" width="7.85546875" customWidth="1"/>
    <col min="15112" max="15112" width="6.5703125" customWidth="1"/>
    <col min="15113" max="15113" width="11.5703125" customWidth="1"/>
    <col min="15114" max="15114" width="30.28515625" customWidth="1"/>
    <col min="15361" max="15361" width="10.85546875" customWidth="1"/>
    <col min="15362" max="15362" width="19.140625" customWidth="1"/>
    <col min="15363" max="15363" width="14" customWidth="1"/>
    <col min="15364" max="15364" width="9.7109375" customWidth="1"/>
    <col min="15365" max="15365" width="9.85546875" customWidth="1"/>
    <col min="15366" max="15366" width="11.85546875" customWidth="1"/>
    <col min="15367" max="15367" width="7.85546875" customWidth="1"/>
    <col min="15368" max="15368" width="6.5703125" customWidth="1"/>
    <col min="15369" max="15369" width="11.5703125" customWidth="1"/>
    <col min="15370" max="15370" width="30.28515625" customWidth="1"/>
    <col min="15617" max="15617" width="10.85546875" customWidth="1"/>
    <col min="15618" max="15618" width="19.140625" customWidth="1"/>
    <col min="15619" max="15619" width="14" customWidth="1"/>
    <col min="15620" max="15620" width="9.7109375" customWidth="1"/>
    <col min="15621" max="15621" width="9.85546875" customWidth="1"/>
    <col min="15622" max="15622" width="11.85546875" customWidth="1"/>
    <col min="15623" max="15623" width="7.85546875" customWidth="1"/>
    <col min="15624" max="15624" width="6.5703125" customWidth="1"/>
    <col min="15625" max="15625" width="11.5703125" customWidth="1"/>
    <col min="15626" max="15626" width="30.28515625" customWidth="1"/>
    <col min="15873" max="15873" width="10.85546875" customWidth="1"/>
    <col min="15874" max="15874" width="19.140625" customWidth="1"/>
    <col min="15875" max="15875" width="14" customWidth="1"/>
    <col min="15876" max="15876" width="9.7109375" customWidth="1"/>
    <col min="15877" max="15877" width="9.85546875" customWidth="1"/>
    <col min="15878" max="15878" width="11.85546875" customWidth="1"/>
    <col min="15879" max="15879" width="7.85546875" customWidth="1"/>
    <col min="15880" max="15880" width="6.5703125" customWidth="1"/>
    <col min="15881" max="15881" width="11.5703125" customWidth="1"/>
    <col min="15882" max="15882" width="30.28515625" customWidth="1"/>
    <col min="16129" max="16129" width="10.85546875" customWidth="1"/>
    <col min="16130" max="16130" width="19.140625" customWidth="1"/>
    <col min="16131" max="16131" width="14" customWidth="1"/>
    <col min="16132" max="16132" width="9.7109375" customWidth="1"/>
    <col min="16133" max="16133" width="9.85546875" customWidth="1"/>
    <col min="16134" max="16134" width="11.85546875" customWidth="1"/>
    <col min="16135" max="16135" width="7.85546875" customWidth="1"/>
    <col min="16136" max="16136" width="6.5703125" customWidth="1"/>
    <col min="16137" max="16137" width="11.5703125" customWidth="1"/>
    <col min="16138" max="16138" width="30.28515625" customWidth="1"/>
  </cols>
  <sheetData>
    <row r="1" spans="1:11" x14ac:dyDescent="0.25">
      <c r="K1"/>
    </row>
    <row r="2" spans="1:11" x14ac:dyDescent="0.25">
      <c r="K2"/>
    </row>
    <row r="3" spans="1:11" x14ac:dyDescent="0.25">
      <c r="K3"/>
    </row>
    <row r="4" spans="1:11" x14ac:dyDescent="0.25">
      <c r="K4"/>
    </row>
    <row r="5" spans="1:11" ht="21" x14ac:dyDescent="0.35">
      <c r="D5" s="16"/>
      <c r="K5"/>
    </row>
    <row r="6" spans="1:11" ht="23.25" x14ac:dyDescent="0.35">
      <c r="A6" s="25" t="s">
        <v>745</v>
      </c>
      <c r="C6" s="14" t="s">
        <v>123</v>
      </c>
      <c r="K6"/>
    </row>
    <row r="7" spans="1:11" ht="18.75" x14ac:dyDescent="0.25">
      <c r="B7" s="265" t="s">
        <v>29</v>
      </c>
      <c r="K7"/>
    </row>
    <row r="8" spans="1:11" ht="18.75" x14ac:dyDescent="0.3">
      <c r="D8" s="15"/>
      <c r="K8"/>
    </row>
    <row r="9" spans="1:11" s="376" customFormat="1" ht="24.75" customHeight="1" thickBot="1" x14ac:dyDescent="0.25">
      <c r="A9" s="492" t="s">
        <v>1194</v>
      </c>
      <c r="B9" s="492"/>
      <c r="C9" s="492"/>
      <c r="D9" s="492"/>
      <c r="E9" s="492"/>
      <c r="F9" s="492"/>
      <c r="G9" s="492"/>
      <c r="H9" s="492"/>
      <c r="I9" s="492"/>
      <c r="J9" s="492"/>
    </row>
    <row r="10" spans="1:11" ht="74.25" customHeight="1" x14ac:dyDescent="0.25">
      <c r="A10" s="308" t="s">
        <v>955</v>
      </c>
      <c r="B10" s="308" t="s">
        <v>66</v>
      </c>
      <c r="C10" s="308" t="s">
        <v>956</v>
      </c>
      <c r="D10" s="308" t="s">
        <v>67</v>
      </c>
      <c r="E10" s="308" t="s">
        <v>957</v>
      </c>
      <c r="F10" s="308" t="s">
        <v>958</v>
      </c>
      <c r="G10" s="308" t="s">
        <v>959</v>
      </c>
      <c r="H10" s="308" t="s">
        <v>960</v>
      </c>
      <c r="I10" s="308" t="s">
        <v>961</v>
      </c>
      <c r="J10" s="308" t="s">
        <v>962</v>
      </c>
    </row>
    <row r="11" spans="1:11" x14ac:dyDescent="0.25">
      <c r="A11" s="489" t="s">
        <v>963</v>
      </c>
      <c r="B11" s="490"/>
      <c r="C11" s="490"/>
      <c r="D11" s="490"/>
      <c r="E11" s="490"/>
      <c r="F11" s="490"/>
      <c r="G11" s="490"/>
      <c r="H11" s="490"/>
      <c r="I11" s="490"/>
      <c r="J11" s="491"/>
    </row>
    <row r="12" spans="1:11" ht="54.75" customHeight="1" x14ac:dyDescent="0.25">
      <c r="A12" s="346">
        <v>26100141</v>
      </c>
      <c r="B12" s="347" t="s">
        <v>964</v>
      </c>
      <c r="C12" s="348"/>
      <c r="D12" s="349" t="s">
        <v>965</v>
      </c>
      <c r="E12" s="350" t="s">
        <v>966</v>
      </c>
      <c r="F12" s="351" t="s">
        <v>967</v>
      </c>
      <c r="G12" s="352" t="s">
        <v>968</v>
      </c>
      <c r="H12" s="353">
        <v>120</v>
      </c>
      <c r="I12" s="353">
        <v>2640</v>
      </c>
      <c r="J12" s="379">
        <v>44.7</v>
      </c>
    </row>
    <row r="13" spans="1:11" ht="55.9" customHeight="1" x14ac:dyDescent="0.25">
      <c r="A13" s="346">
        <v>26100180</v>
      </c>
      <c r="B13" s="347" t="s">
        <v>969</v>
      </c>
      <c r="C13" s="348"/>
      <c r="D13" s="349" t="s">
        <v>965</v>
      </c>
      <c r="E13" s="350" t="s">
        <v>970</v>
      </c>
      <c r="F13" s="351" t="s">
        <v>971</v>
      </c>
      <c r="G13" s="354" t="s">
        <v>972</v>
      </c>
      <c r="H13" s="353">
        <v>80</v>
      </c>
      <c r="I13" s="353">
        <v>1600</v>
      </c>
      <c r="J13" s="379">
        <v>67.8</v>
      </c>
    </row>
    <row r="14" spans="1:11" ht="51.75" customHeight="1" x14ac:dyDescent="0.25">
      <c r="A14" s="346">
        <v>26100353</v>
      </c>
      <c r="B14" s="347" t="s">
        <v>973</v>
      </c>
      <c r="C14" s="348"/>
      <c r="D14" s="349" t="s">
        <v>76</v>
      </c>
      <c r="E14" s="350" t="s">
        <v>974</v>
      </c>
      <c r="F14" s="351" t="s">
        <v>975</v>
      </c>
      <c r="G14" s="354" t="s">
        <v>976</v>
      </c>
      <c r="H14" s="355">
        <v>60</v>
      </c>
      <c r="I14" s="355">
        <v>1200</v>
      </c>
      <c r="J14" s="379">
        <v>107.3</v>
      </c>
    </row>
    <row r="15" spans="1:11" ht="54" customHeight="1" x14ac:dyDescent="0.25">
      <c r="A15" s="346">
        <v>26100349</v>
      </c>
      <c r="B15" s="347" t="s">
        <v>977</v>
      </c>
      <c r="C15" s="348"/>
      <c r="D15" s="349" t="s">
        <v>76</v>
      </c>
      <c r="E15" s="350" t="s">
        <v>974</v>
      </c>
      <c r="F15" s="351" t="s">
        <v>978</v>
      </c>
      <c r="G15" s="352" t="s">
        <v>979</v>
      </c>
      <c r="H15" s="355">
        <v>60</v>
      </c>
      <c r="I15" s="355">
        <v>1200</v>
      </c>
      <c r="J15" s="379">
        <v>107.3</v>
      </c>
    </row>
    <row r="16" spans="1:11" ht="63" customHeight="1" x14ac:dyDescent="0.25">
      <c r="A16" s="346">
        <v>26100161</v>
      </c>
      <c r="B16" s="356" t="s">
        <v>980</v>
      </c>
      <c r="C16" s="348"/>
      <c r="D16" s="349" t="s">
        <v>981</v>
      </c>
      <c r="E16" s="350" t="s">
        <v>982</v>
      </c>
      <c r="F16" s="357" t="s">
        <v>983</v>
      </c>
      <c r="G16" s="352" t="s">
        <v>984</v>
      </c>
      <c r="H16" s="353">
        <v>50</v>
      </c>
      <c r="I16" s="353">
        <v>1000</v>
      </c>
      <c r="J16" s="379">
        <v>127.2</v>
      </c>
    </row>
    <row r="17" spans="1:11" ht="54.75" customHeight="1" x14ac:dyDescent="0.25">
      <c r="A17" s="346" t="s">
        <v>985</v>
      </c>
      <c r="B17" s="347" t="s">
        <v>986</v>
      </c>
      <c r="C17" s="348"/>
      <c r="D17" s="349" t="s">
        <v>981</v>
      </c>
      <c r="E17" s="350" t="s">
        <v>987</v>
      </c>
      <c r="F17" s="358" t="s">
        <v>988</v>
      </c>
      <c r="G17" s="354" t="s">
        <v>989</v>
      </c>
      <c r="H17" s="353">
        <v>50</v>
      </c>
      <c r="I17" s="355">
        <v>1000</v>
      </c>
      <c r="J17" s="379">
        <v>140</v>
      </c>
      <c r="K17" s="359"/>
    </row>
    <row r="18" spans="1:11" ht="64.5" customHeight="1" x14ac:dyDescent="0.25">
      <c r="A18" s="361">
        <v>26110151</v>
      </c>
      <c r="B18" s="356" t="s">
        <v>990</v>
      </c>
      <c r="C18" s="353"/>
      <c r="D18" s="360" t="s">
        <v>991</v>
      </c>
      <c r="E18" s="350" t="s">
        <v>974</v>
      </c>
      <c r="F18" s="357" t="s">
        <v>992</v>
      </c>
      <c r="G18" s="352" t="s">
        <v>993</v>
      </c>
      <c r="H18" s="353">
        <v>60</v>
      </c>
      <c r="I18" s="353">
        <v>1140</v>
      </c>
      <c r="J18" s="379">
        <v>147.1</v>
      </c>
      <c r="K18" s="359"/>
    </row>
    <row r="19" spans="1:11" ht="59.25" customHeight="1" x14ac:dyDescent="0.25">
      <c r="A19" s="361">
        <v>26110139</v>
      </c>
      <c r="B19" s="356" t="s">
        <v>994</v>
      </c>
      <c r="C19" s="353"/>
      <c r="D19" s="360" t="s">
        <v>995</v>
      </c>
      <c r="E19" s="350" t="s">
        <v>982</v>
      </c>
      <c r="F19" s="357" t="s">
        <v>996</v>
      </c>
      <c r="G19" s="352" t="s">
        <v>997</v>
      </c>
      <c r="H19" s="353">
        <v>48</v>
      </c>
      <c r="I19" s="353">
        <v>1008</v>
      </c>
      <c r="J19" s="379">
        <v>169.1</v>
      </c>
      <c r="K19" s="359"/>
    </row>
    <row r="20" spans="1:11" ht="59.25" customHeight="1" x14ac:dyDescent="0.25">
      <c r="A20" s="361">
        <v>26110147</v>
      </c>
      <c r="B20" s="356" t="s">
        <v>998</v>
      </c>
      <c r="C20" s="353"/>
      <c r="D20" s="360" t="s">
        <v>995</v>
      </c>
      <c r="E20" s="350" t="s">
        <v>987</v>
      </c>
      <c r="F20" s="357" t="s">
        <v>988</v>
      </c>
      <c r="G20" s="352" t="s">
        <v>999</v>
      </c>
      <c r="H20" s="353">
        <v>48</v>
      </c>
      <c r="I20" s="353">
        <v>816</v>
      </c>
      <c r="J20" s="379">
        <v>199.2</v>
      </c>
      <c r="K20" s="359"/>
    </row>
    <row r="21" spans="1:11" ht="63.75" customHeight="1" thickBot="1" x14ac:dyDescent="0.3">
      <c r="A21" s="361">
        <v>26110165</v>
      </c>
      <c r="B21" s="356" t="s">
        <v>1000</v>
      </c>
      <c r="C21" s="362"/>
      <c r="D21" s="360" t="s">
        <v>995</v>
      </c>
      <c r="E21" s="350" t="s">
        <v>1001</v>
      </c>
      <c r="F21" s="357" t="s">
        <v>1002</v>
      </c>
      <c r="G21" s="352" t="s">
        <v>1003</v>
      </c>
      <c r="H21" s="353">
        <v>72</v>
      </c>
      <c r="I21" s="353">
        <v>1368</v>
      </c>
      <c r="J21" s="379">
        <v>143.4</v>
      </c>
    </row>
    <row r="22" spans="1:11" x14ac:dyDescent="0.25">
      <c r="A22" s="489" t="s">
        <v>1004</v>
      </c>
      <c r="B22" s="490"/>
      <c r="C22" s="490"/>
      <c r="D22" s="490"/>
      <c r="E22" s="490"/>
      <c r="F22" s="490"/>
      <c r="G22" s="490"/>
      <c r="H22" s="490"/>
      <c r="I22" s="490"/>
      <c r="J22" s="491"/>
    </row>
    <row r="23" spans="1:11" ht="48" customHeight="1" x14ac:dyDescent="0.25">
      <c r="A23" s="361">
        <v>26990001</v>
      </c>
      <c r="B23" s="356" t="s">
        <v>1005</v>
      </c>
      <c r="C23" s="353"/>
      <c r="D23" s="360" t="s">
        <v>91</v>
      </c>
      <c r="E23" s="350"/>
      <c r="F23" s="357"/>
      <c r="G23" s="352" t="s">
        <v>1006</v>
      </c>
      <c r="H23" s="353">
        <v>50</v>
      </c>
      <c r="I23" s="353">
        <v>1000</v>
      </c>
      <c r="J23" s="380">
        <v>367</v>
      </c>
      <c r="K23" s="359"/>
    </row>
    <row r="24" spans="1:11" ht="62.25" customHeight="1" x14ac:dyDescent="0.25">
      <c r="A24" s="361">
        <v>26990024</v>
      </c>
      <c r="B24" s="356" t="s">
        <v>1007</v>
      </c>
      <c r="C24" s="353"/>
      <c r="D24" s="360" t="s">
        <v>91</v>
      </c>
      <c r="E24" s="350"/>
      <c r="F24" s="357"/>
      <c r="G24" s="352" t="s">
        <v>1006</v>
      </c>
      <c r="H24" s="353">
        <v>50</v>
      </c>
      <c r="I24" s="353">
        <v>1000</v>
      </c>
      <c r="J24" s="380">
        <v>406</v>
      </c>
      <c r="K24" s="359"/>
    </row>
    <row r="25" spans="1:11" ht="48" customHeight="1" x14ac:dyDescent="0.25">
      <c r="A25" s="363">
        <v>26990023</v>
      </c>
      <c r="B25" s="347" t="s">
        <v>1008</v>
      </c>
      <c r="C25" s="348"/>
      <c r="D25" s="364" t="s">
        <v>1009</v>
      </c>
      <c r="E25" s="365"/>
      <c r="F25" s="366"/>
      <c r="G25" s="364" t="s">
        <v>1010</v>
      </c>
      <c r="H25" s="364">
        <v>40</v>
      </c>
      <c r="I25" s="364">
        <v>680</v>
      </c>
      <c r="J25" s="381">
        <v>292</v>
      </c>
      <c r="K25" s="359"/>
    </row>
    <row r="26" spans="1:11" ht="51" customHeight="1" x14ac:dyDescent="0.25">
      <c r="A26" s="363">
        <v>26990043</v>
      </c>
      <c r="B26" s="347" t="s">
        <v>1011</v>
      </c>
      <c r="C26" s="493"/>
      <c r="D26" s="367"/>
      <c r="E26" s="365"/>
      <c r="F26" s="357" t="s">
        <v>1012</v>
      </c>
      <c r="G26" s="364">
        <v>2.8</v>
      </c>
      <c r="H26" s="364">
        <v>1</v>
      </c>
      <c r="I26" s="364"/>
      <c r="J26" s="381">
        <v>1000</v>
      </c>
      <c r="K26" s="359"/>
    </row>
    <row r="27" spans="1:11" ht="51" customHeight="1" x14ac:dyDescent="0.25">
      <c r="A27" s="363">
        <v>26990042</v>
      </c>
      <c r="B27" s="347" t="s">
        <v>1013</v>
      </c>
      <c r="C27" s="494"/>
      <c r="D27" s="367"/>
      <c r="E27" s="365"/>
      <c r="F27" s="357" t="s">
        <v>1014</v>
      </c>
      <c r="G27" s="364">
        <v>3.3</v>
      </c>
      <c r="H27" s="364">
        <v>1</v>
      </c>
      <c r="I27" s="364"/>
      <c r="J27" s="381">
        <v>1400</v>
      </c>
      <c r="K27" s="359"/>
    </row>
    <row r="28" spans="1:11" ht="51" customHeight="1" x14ac:dyDescent="0.25">
      <c r="A28" s="363">
        <v>26990041</v>
      </c>
      <c r="B28" s="347" t="s">
        <v>1015</v>
      </c>
      <c r="C28" s="494"/>
      <c r="D28" s="367"/>
      <c r="E28" s="365"/>
      <c r="F28" s="357" t="s">
        <v>1016</v>
      </c>
      <c r="G28" s="364">
        <v>3.6</v>
      </c>
      <c r="H28" s="364">
        <v>1</v>
      </c>
      <c r="I28" s="364"/>
      <c r="J28" s="381">
        <v>1500</v>
      </c>
      <c r="K28" s="359"/>
    </row>
    <row r="29" spans="1:11" ht="51" customHeight="1" x14ac:dyDescent="0.25">
      <c r="A29" s="363">
        <v>26990040</v>
      </c>
      <c r="B29" s="347" t="s">
        <v>1017</v>
      </c>
      <c r="C29" s="495"/>
      <c r="D29" s="367"/>
      <c r="E29" s="365"/>
      <c r="F29" s="357" t="s">
        <v>1018</v>
      </c>
      <c r="G29" s="364">
        <v>3.9</v>
      </c>
      <c r="H29" s="364">
        <v>1</v>
      </c>
      <c r="I29" s="364"/>
      <c r="J29" s="381">
        <v>1700</v>
      </c>
      <c r="K29" s="359"/>
    </row>
    <row r="30" spans="1:11" ht="51" customHeight="1" x14ac:dyDescent="0.25">
      <c r="A30" s="363">
        <v>26990015</v>
      </c>
      <c r="B30" s="347" t="s">
        <v>1019</v>
      </c>
      <c r="C30" s="348"/>
      <c r="D30" s="367"/>
      <c r="E30" s="365"/>
      <c r="F30" s="366"/>
      <c r="G30" s="377"/>
      <c r="H30" s="364">
        <v>1</v>
      </c>
      <c r="I30" s="364"/>
      <c r="J30" s="382" t="s">
        <v>1020</v>
      </c>
      <c r="K30"/>
    </row>
    <row r="31" spans="1:11" ht="51" customHeight="1" x14ac:dyDescent="0.25">
      <c r="A31" s="363">
        <v>26990017</v>
      </c>
      <c r="B31" s="347" t="s">
        <v>1021</v>
      </c>
      <c r="C31" s="348"/>
      <c r="D31" s="367"/>
      <c r="E31" s="365"/>
      <c r="F31" s="366"/>
      <c r="G31" s="377"/>
      <c r="H31" s="364" t="s">
        <v>1022</v>
      </c>
      <c r="I31" s="364"/>
      <c r="J31" s="381" t="s">
        <v>1023</v>
      </c>
      <c r="K31"/>
    </row>
    <row r="32" spans="1:11" ht="51" customHeight="1" x14ac:dyDescent="0.25">
      <c r="A32" s="363">
        <v>26990019</v>
      </c>
      <c r="B32" s="347" t="s">
        <v>1024</v>
      </c>
      <c r="C32" s="348"/>
      <c r="D32" s="367"/>
      <c r="E32" s="365"/>
      <c r="F32" s="366"/>
      <c r="G32" s="377"/>
      <c r="H32" s="364" t="s">
        <v>1022</v>
      </c>
      <c r="I32" s="364"/>
      <c r="J32" s="381" t="s">
        <v>1025</v>
      </c>
      <c r="K32"/>
    </row>
    <row r="33" spans="1:11" ht="51" customHeight="1" x14ac:dyDescent="0.25">
      <c r="A33" s="363">
        <v>26990016</v>
      </c>
      <c r="B33" s="347" t="s">
        <v>1026</v>
      </c>
      <c r="C33" s="348"/>
      <c r="D33" s="367"/>
      <c r="E33" s="365"/>
      <c r="F33" s="366"/>
      <c r="G33" s="377"/>
      <c r="H33" s="364">
        <v>1</v>
      </c>
      <c r="I33" s="364"/>
      <c r="J33" s="382" t="s">
        <v>1027</v>
      </c>
      <c r="K33"/>
    </row>
    <row r="34" spans="1:11" x14ac:dyDescent="0.25">
      <c r="A34" s="489"/>
      <c r="B34" s="490"/>
      <c r="C34" s="490"/>
      <c r="D34" s="490"/>
      <c r="E34" s="490"/>
      <c r="F34" s="490"/>
      <c r="G34" s="490"/>
      <c r="H34" s="490"/>
      <c r="I34" s="490"/>
      <c r="J34" s="491"/>
      <c r="K34"/>
    </row>
    <row r="35" spans="1:11" x14ac:dyDescent="0.25">
      <c r="A35" t="s">
        <v>1028</v>
      </c>
    </row>
    <row r="36" spans="1:11" x14ac:dyDescent="0.25">
      <c r="A36" t="s">
        <v>1029</v>
      </c>
    </row>
    <row r="37" spans="1:11" s="375" customFormat="1" ht="12.75" x14ac:dyDescent="0.2">
      <c r="A37" s="368" t="s">
        <v>1030</v>
      </c>
      <c r="B37" s="369"/>
      <c r="C37" s="370"/>
      <c r="D37" s="371"/>
      <c r="E37" s="371"/>
      <c r="F37" s="371"/>
      <c r="G37" s="371"/>
      <c r="H37" s="372"/>
      <c r="I37" s="373"/>
      <c r="J37" s="373"/>
      <c r="K37" s="374"/>
    </row>
    <row r="38" spans="1:11" x14ac:dyDescent="0.25">
      <c r="A38" t="s">
        <v>1031</v>
      </c>
    </row>
    <row r="39" spans="1:11" x14ac:dyDescent="0.25">
      <c r="A39" t="s">
        <v>1032</v>
      </c>
    </row>
    <row r="40" spans="1:11" x14ac:dyDescent="0.25">
      <c r="A40" s="378"/>
    </row>
  </sheetData>
  <mergeCells count="5">
    <mergeCell ref="A34:J34"/>
    <mergeCell ref="A9:J9"/>
    <mergeCell ref="C26:C29"/>
    <mergeCell ref="A11:J11"/>
    <mergeCell ref="A22:J22"/>
  </mergeCells>
  <hyperlinks>
    <hyperlink ref="B7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X793"/>
  <sheetViews>
    <sheetView zoomScale="30" zoomScaleNormal="30" workbookViewId="0">
      <selection activeCell="A7" sqref="A7:T7"/>
    </sheetView>
  </sheetViews>
  <sheetFormatPr defaultRowHeight="15" x14ac:dyDescent="0.25"/>
  <cols>
    <col min="1" max="1" width="78.7109375" customWidth="1"/>
    <col min="2" max="2" width="35" style="113" customWidth="1"/>
    <col min="3" max="3" width="31.7109375" style="113" customWidth="1"/>
    <col min="4" max="4" width="32" style="114" customWidth="1"/>
    <col min="5" max="5" width="26.5703125" style="113" customWidth="1"/>
    <col min="6" max="6" width="4.7109375" style="113" customWidth="1"/>
    <col min="7" max="7" width="25.7109375" style="113" customWidth="1"/>
    <col min="8" max="8" width="7.5703125" style="113" customWidth="1"/>
    <col min="9" max="9" width="61.85546875" style="113" customWidth="1"/>
    <col min="10" max="11" width="33.140625" style="113" customWidth="1"/>
    <col min="12" max="12" width="13" style="115" customWidth="1"/>
    <col min="13" max="13" width="111" customWidth="1"/>
    <col min="14" max="14" width="44.7109375" customWidth="1"/>
    <col min="15" max="16" width="35.5703125" customWidth="1"/>
    <col min="17" max="17" width="41.7109375" customWidth="1"/>
    <col min="18" max="18" width="41.85546875" bestFit="1" customWidth="1"/>
    <col min="19" max="19" width="47.5703125" bestFit="1" customWidth="1"/>
    <col min="20" max="20" width="45.85546875" bestFit="1" customWidth="1"/>
    <col min="24" max="24" width="12.7109375" customWidth="1"/>
    <col min="29" max="29" width="40.28515625" customWidth="1"/>
  </cols>
  <sheetData>
    <row r="1" spans="1:24" s="112" customFormat="1" ht="267" customHeight="1" x14ac:dyDescent="0.2">
      <c r="A1" s="116"/>
      <c r="B1" s="117"/>
      <c r="C1" s="117"/>
      <c r="D1" s="118"/>
      <c r="E1" s="117"/>
      <c r="F1" s="117"/>
      <c r="G1" s="117"/>
      <c r="H1" s="117"/>
      <c r="I1" s="117"/>
      <c r="J1" s="117"/>
      <c r="K1" s="117"/>
      <c r="L1" s="119"/>
      <c r="M1" s="116"/>
      <c r="N1" s="116"/>
      <c r="O1" s="116"/>
      <c r="P1" s="116"/>
      <c r="Q1" s="116"/>
      <c r="R1" s="116"/>
      <c r="S1" s="116"/>
      <c r="T1" s="116"/>
    </row>
    <row r="2" spans="1:24" s="47" customFormat="1" ht="40.5" customHeight="1" x14ac:dyDescent="0.25">
      <c r="A2" s="120"/>
      <c r="B2" s="121"/>
      <c r="C2" s="121"/>
      <c r="D2" s="122"/>
      <c r="E2" s="121"/>
      <c r="F2" s="121"/>
      <c r="G2" s="121"/>
      <c r="H2" s="121"/>
      <c r="I2" s="121"/>
      <c r="J2" s="121"/>
      <c r="K2" s="121"/>
      <c r="L2" s="123"/>
      <c r="M2" s="120"/>
      <c r="N2" s="120"/>
      <c r="O2" s="120"/>
      <c r="P2" s="120"/>
      <c r="Q2" s="120"/>
      <c r="R2" s="120"/>
      <c r="S2" s="120"/>
      <c r="T2" s="120"/>
    </row>
    <row r="3" spans="1:24" s="47" customFormat="1" ht="68.25" customHeight="1" x14ac:dyDescent="0.9">
      <c r="A3" s="124" t="s">
        <v>283</v>
      </c>
      <c r="B3" s="121"/>
      <c r="C3" s="121"/>
      <c r="D3" s="122"/>
      <c r="E3" s="121"/>
      <c r="F3" s="121"/>
      <c r="G3" s="121"/>
      <c r="H3" s="121"/>
      <c r="I3" s="121"/>
      <c r="J3" s="121"/>
      <c r="K3" s="121"/>
      <c r="L3" s="123"/>
      <c r="M3" s="120"/>
      <c r="N3" s="120"/>
      <c r="O3" s="120"/>
      <c r="P3" s="120"/>
      <c r="Q3" s="120"/>
      <c r="R3" s="120"/>
      <c r="S3" s="120"/>
      <c r="T3" s="120"/>
    </row>
    <row r="4" spans="1:24" s="47" customFormat="1" ht="12.75" x14ac:dyDescent="0.25">
      <c r="B4" s="48"/>
      <c r="C4" s="48"/>
      <c r="D4" s="49"/>
      <c r="E4" s="48"/>
      <c r="F4" s="48"/>
      <c r="G4" s="48"/>
      <c r="H4" s="48"/>
      <c r="I4" s="48"/>
      <c r="J4" s="48"/>
      <c r="K4" s="48"/>
      <c r="L4" s="50"/>
    </row>
    <row r="5" spans="1:24" s="47" customFormat="1" ht="12.75" x14ac:dyDescent="0.25">
      <c r="B5" s="48"/>
      <c r="C5" s="48"/>
      <c r="D5" s="49"/>
      <c r="E5" s="48"/>
      <c r="F5" s="48"/>
      <c r="G5" s="48"/>
      <c r="H5" s="48"/>
      <c r="I5" s="48"/>
      <c r="J5" s="48"/>
      <c r="K5" s="48"/>
      <c r="L5" s="50"/>
    </row>
    <row r="6" spans="1:24" s="47" customFormat="1" ht="60.75" customHeight="1" x14ac:dyDescent="0.25">
      <c r="B6" s="125" t="s">
        <v>29</v>
      </c>
      <c r="C6" s="48"/>
      <c r="D6" s="49"/>
      <c r="E6" s="48"/>
      <c r="F6" s="48"/>
      <c r="G6" s="48"/>
      <c r="H6" s="48"/>
      <c r="I6" s="48"/>
      <c r="J6" s="48"/>
      <c r="K6" s="48"/>
      <c r="L6" s="50"/>
    </row>
    <row r="7" spans="1:24" s="47" customFormat="1" ht="63.75" customHeight="1" x14ac:dyDescent="0.25">
      <c r="A7" s="557" t="s">
        <v>1153</v>
      </c>
      <c r="B7" s="557"/>
      <c r="C7" s="557"/>
      <c r="D7" s="557"/>
      <c r="E7" s="557"/>
      <c r="F7" s="557"/>
      <c r="G7" s="557"/>
      <c r="H7" s="557"/>
      <c r="I7" s="557"/>
      <c r="J7" s="557"/>
      <c r="K7" s="557"/>
      <c r="L7" s="557"/>
      <c r="M7" s="557"/>
      <c r="N7" s="557"/>
      <c r="O7" s="557"/>
      <c r="P7" s="557"/>
      <c r="Q7" s="557"/>
      <c r="R7" s="557"/>
      <c r="S7" s="557"/>
      <c r="T7" s="557"/>
      <c r="U7" s="51"/>
      <c r="V7" s="51"/>
    </row>
    <row r="8" spans="1:24" s="47" customFormat="1" ht="44.25" customHeight="1" thickBot="1" x14ac:dyDescent="0.3">
      <c r="A8" s="579" t="s">
        <v>119</v>
      </c>
      <c r="B8" s="579"/>
      <c r="C8" s="579"/>
      <c r="D8" s="579"/>
      <c r="E8" s="579"/>
      <c r="F8" s="579"/>
      <c r="G8" s="579"/>
      <c r="H8" s="579"/>
      <c r="I8" s="579"/>
      <c r="J8" s="579"/>
      <c r="K8" s="579"/>
      <c r="L8" s="52"/>
      <c r="M8" s="51"/>
      <c r="R8" s="323" t="s">
        <v>221</v>
      </c>
      <c r="S8" s="323"/>
      <c r="T8" s="53">
        <v>42157</v>
      </c>
      <c r="U8" s="53"/>
      <c r="V8" s="53"/>
      <c r="W8" s="53"/>
      <c r="X8" s="53"/>
    </row>
    <row r="9" spans="1:24" s="47" customFormat="1" ht="63" customHeight="1" x14ac:dyDescent="0.25">
      <c r="A9" s="558" t="s">
        <v>66</v>
      </c>
      <c r="B9" s="560" t="s">
        <v>222</v>
      </c>
      <c r="C9" s="562" t="s">
        <v>223</v>
      </c>
      <c r="D9" s="563"/>
      <c r="E9" s="564" t="s">
        <v>224</v>
      </c>
      <c r="F9" s="565"/>
      <c r="G9" s="568" t="s">
        <v>225</v>
      </c>
      <c r="H9" s="569"/>
      <c r="I9" s="560" t="s">
        <v>226</v>
      </c>
      <c r="J9" s="573" t="s">
        <v>227</v>
      </c>
      <c r="K9" s="574"/>
      <c r="L9" s="54"/>
      <c r="M9" s="558" t="s">
        <v>66</v>
      </c>
      <c r="N9" s="560" t="s">
        <v>222</v>
      </c>
      <c r="O9" s="560" t="s">
        <v>224</v>
      </c>
      <c r="P9" s="575" t="s">
        <v>225</v>
      </c>
      <c r="Q9" s="562" t="s">
        <v>227</v>
      </c>
      <c r="R9" s="577"/>
      <c r="S9" s="577"/>
      <c r="T9" s="578"/>
    </row>
    <row r="10" spans="1:24" s="47" customFormat="1" ht="87.75" customHeight="1" x14ac:dyDescent="0.25">
      <c r="A10" s="559"/>
      <c r="B10" s="561"/>
      <c r="C10" s="317" t="s">
        <v>228</v>
      </c>
      <c r="D10" s="317" t="s">
        <v>229</v>
      </c>
      <c r="E10" s="566"/>
      <c r="F10" s="567"/>
      <c r="G10" s="570"/>
      <c r="H10" s="571"/>
      <c r="I10" s="572"/>
      <c r="J10" s="318" t="s">
        <v>230</v>
      </c>
      <c r="K10" s="327" t="s">
        <v>231</v>
      </c>
      <c r="L10" s="55"/>
      <c r="M10" s="559"/>
      <c r="N10" s="561"/>
      <c r="O10" s="561"/>
      <c r="P10" s="576"/>
      <c r="Q10" s="319" t="s">
        <v>232</v>
      </c>
      <c r="R10" s="320" t="s">
        <v>233</v>
      </c>
      <c r="S10" s="319" t="s">
        <v>234</v>
      </c>
      <c r="T10" s="324" t="s">
        <v>235</v>
      </c>
    </row>
    <row r="11" spans="1:24" s="47" customFormat="1" ht="180.75" customHeight="1" x14ac:dyDescent="0.25">
      <c r="A11" s="542" t="s">
        <v>236</v>
      </c>
      <c r="B11" s="527"/>
      <c r="C11" s="530">
        <v>0.25900000000000001</v>
      </c>
      <c r="D11" s="530">
        <v>0.224</v>
      </c>
      <c r="E11" s="513">
        <v>3.6</v>
      </c>
      <c r="F11" s="514"/>
      <c r="G11" s="519">
        <v>22</v>
      </c>
      <c r="H11" s="520"/>
      <c r="I11" s="56" t="s">
        <v>237</v>
      </c>
      <c r="J11" s="57">
        <v>167</v>
      </c>
      <c r="K11" s="328">
        <v>206</v>
      </c>
      <c r="L11" s="58"/>
      <c r="M11" s="325" t="s">
        <v>238</v>
      </c>
      <c r="N11" s="411"/>
      <c r="O11" s="414">
        <v>3</v>
      </c>
      <c r="P11" s="59">
        <v>24</v>
      </c>
      <c r="Q11" s="415">
        <v>437</v>
      </c>
      <c r="R11" s="415">
        <v>627</v>
      </c>
      <c r="S11" s="415">
        <v>481</v>
      </c>
      <c r="T11" s="326">
        <v>519</v>
      </c>
    </row>
    <row r="12" spans="1:24" s="47" customFormat="1" ht="77.25" customHeight="1" x14ac:dyDescent="0.25">
      <c r="A12" s="543"/>
      <c r="B12" s="528"/>
      <c r="C12" s="531"/>
      <c r="D12" s="531"/>
      <c r="E12" s="515"/>
      <c r="F12" s="516"/>
      <c r="G12" s="521"/>
      <c r="H12" s="522"/>
      <c r="I12" s="63" t="s">
        <v>234</v>
      </c>
      <c r="J12" s="413">
        <v>183</v>
      </c>
      <c r="K12" s="412">
        <v>225</v>
      </c>
      <c r="L12" s="58"/>
      <c r="M12" s="545" t="s">
        <v>239</v>
      </c>
      <c r="N12" s="547"/>
      <c r="O12" s="533">
        <v>3</v>
      </c>
      <c r="P12" s="580">
        <v>51</v>
      </c>
      <c r="Q12" s="536">
        <v>169</v>
      </c>
      <c r="R12" s="536">
        <v>244</v>
      </c>
      <c r="S12" s="536">
        <v>186</v>
      </c>
      <c r="T12" s="540">
        <v>201</v>
      </c>
    </row>
    <row r="13" spans="1:24" s="47" customFormat="1" ht="80.25" customHeight="1" x14ac:dyDescent="0.25">
      <c r="A13" s="544"/>
      <c r="B13" s="529"/>
      <c r="C13" s="532"/>
      <c r="D13" s="532"/>
      <c r="E13" s="517"/>
      <c r="F13" s="518"/>
      <c r="G13" s="523"/>
      <c r="H13" s="524"/>
      <c r="I13" s="61" t="s">
        <v>240</v>
      </c>
      <c r="J13" s="62">
        <v>252</v>
      </c>
      <c r="K13" s="329">
        <v>311</v>
      </c>
      <c r="L13" s="58"/>
      <c r="M13" s="546"/>
      <c r="N13" s="548"/>
      <c r="O13" s="535"/>
      <c r="P13" s="581"/>
      <c r="Q13" s="538"/>
      <c r="R13" s="538"/>
      <c r="S13" s="538"/>
      <c r="T13" s="541"/>
    </row>
    <row r="14" spans="1:24" s="47" customFormat="1" ht="72" customHeight="1" x14ac:dyDescent="0.25">
      <c r="A14" s="542" t="s">
        <v>241</v>
      </c>
      <c r="B14" s="527"/>
      <c r="C14" s="530">
        <v>0.23799999999999999</v>
      </c>
      <c r="D14" s="530">
        <v>0.20300000000000001</v>
      </c>
      <c r="E14" s="513">
        <v>3</v>
      </c>
      <c r="F14" s="514"/>
      <c r="G14" s="519">
        <v>22</v>
      </c>
      <c r="H14" s="520"/>
      <c r="I14" s="525" t="s">
        <v>242</v>
      </c>
      <c r="J14" s="551">
        <v>118</v>
      </c>
      <c r="K14" s="553">
        <v>194</v>
      </c>
      <c r="L14" s="58"/>
      <c r="M14" s="555" t="s">
        <v>243</v>
      </c>
      <c r="N14" s="547"/>
      <c r="O14" s="414">
        <v>3.6</v>
      </c>
      <c r="P14" s="59">
        <v>50</v>
      </c>
      <c r="Q14" s="415">
        <v>140</v>
      </c>
      <c r="R14" s="60" t="s">
        <v>92</v>
      </c>
      <c r="S14" s="60" t="s">
        <v>92</v>
      </c>
      <c r="T14" s="326">
        <v>168</v>
      </c>
    </row>
    <row r="15" spans="1:24" s="47" customFormat="1" ht="111.75" customHeight="1" x14ac:dyDescent="0.25">
      <c r="A15" s="543"/>
      <c r="B15" s="528"/>
      <c r="C15" s="531"/>
      <c r="D15" s="531"/>
      <c r="E15" s="515"/>
      <c r="F15" s="516"/>
      <c r="G15" s="521"/>
      <c r="H15" s="522"/>
      <c r="I15" s="526"/>
      <c r="J15" s="552"/>
      <c r="K15" s="554"/>
      <c r="L15" s="58"/>
      <c r="M15" s="556"/>
      <c r="N15" s="548"/>
      <c r="O15" s="414">
        <v>3</v>
      </c>
      <c r="P15" s="59">
        <v>50</v>
      </c>
      <c r="Q15" s="60">
        <v>140</v>
      </c>
      <c r="R15" s="60">
        <v>202</v>
      </c>
      <c r="S15" s="60">
        <v>154</v>
      </c>
      <c r="T15" s="326">
        <v>168</v>
      </c>
    </row>
    <row r="16" spans="1:24" s="47" customFormat="1" ht="82.5" customHeight="1" x14ac:dyDescent="0.25">
      <c r="A16" s="543"/>
      <c r="B16" s="528"/>
      <c r="C16" s="531"/>
      <c r="D16" s="531"/>
      <c r="E16" s="515"/>
      <c r="F16" s="516"/>
      <c r="G16" s="521"/>
      <c r="H16" s="522"/>
      <c r="I16" s="64" t="s">
        <v>234</v>
      </c>
      <c r="J16" s="409">
        <v>130</v>
      </c>
      <c r="K16" s="410">
        <v>213</v>
      </c>
      <c r="L16" s="58"/>
      <c r="M16" s="555" t="s">
        <v>244</v>
      </c>
      <c r="N16" s="547"/>
      <c r="O16" s="533">
        <v>3</v>
      </c>
      <c r="P16" s="580">
        <v>40</v>
      </c>
      <c r="Q16" s="536" t="s">
        <v>245</v>
      </c>
      <c r="R16" s="549" t="s">
        <v>92</v>
      </c>
      <c r="S16" s="549" t="s">
        <v>92</v>
      </c>
      <c r="T16" s="540" t="s">
        <v>92</v>
      </c>
    </row>
    <row r="17" spans="1:20" s="47" customFormat="1" ht="66.75" customHeight="1" x14ac:dyDescent="0.25">
      <c r="A17" s="544"/>
      <c r="B17" s="529"/>
      <c r="C17" s="532"/>
      <c r="D17" s="532"/>
      <c r="E17" s="517"/>
      <c r="F17" s="518"/>
      <c r="G17" s="523"/>
      <c r="H17" s="524"/>
      <c r="I17" s="66" t="s">
        <v>240</v>
      </c>
      <c r="J17" s="409">
        <v>189</v>
      </c>
      <c r="K17" s="410">
        <v>309</v>
      </c>
      <c r="L17" s="58"/>
      <c r="M17" s="556"/>
      <c r="N17" s="548"/>
      <c r="O17" s="535"/>
      <c r="P17" s="581"/>
      <c r="Q17" s="538"/>
      <c r="R17" s="550"/>
      <c r="S17" s="550"/>
      <c r="T17" s="541"/>
    </row>
    <row r="18" spans="1:20" s="47" customFormat="1" ht="89.25" customHeight="1" x14ac:dyDescent="0.25">
      <c r="A18" s="542" t="s">
        <v>246</v>
      </c>
      <c r="B18" s="527"/>
      <c r="C18" s="530">
        <v>0.27200000000000002</v>
      </c>
      <c r="D18" s="530">
        <v>0.24399999999999999</v>
      </c>
      <c r="E18" s="513">
        <v>3</v>
      </c>
      <c r="F18" s="514"/>
      <c r="G18" s="519">
        <v>22</v>
      </c>
      <c r="H18" s="520"/>
      <c r="I18" s="67" t="s">
        <v>247</v>
      </c>
      <c r="J18" s="57">
        <v>184</v>
      </c>
      <c r="K18" s="328">
        <v>252</v>
      </c>
      <c r="L18" s="58"/>
      <c r="M18" s="555" t="s">
        <v>248</v>
      </c>
      <c r="N18" s="547"/>
      <c r="O18" s="533">
        <v>3</v>
      </c>
      <c r="P18" s="580">
        <v>10</v>
      </c>
      <c r="Q18" s="536">
        <v>480</v>
      </c>
      <c r="R18" s="536">
        <v>683</v>
      </c>
      <c r="S18" s="536">
        <v>528</v>
      </c>
      <c r="T18" s="540">
        <v>565</v>
      </c>
    </row>
    <row r="19" spans="1:20" s="47" customFormat="1" ht="74.25" customHeight="1" x14ac:dyDescent="0.25">
      <c r="A19" s="543"/>
      <c r="B19" s="528"/>
      <c r="C19" s="531"/>
      <c r="D19" s="531"/>
      <c r="E19" s="515"/>
      <c r="F19" s="516"/>
      <c r="G19" s="521"/>
      <c r="H19" s="522"/>
      <c r="I19" s="68" t="s">
        <v>234</v>
      </c>
      <c r="J19" s="69">
        <v>202</v>
      </c>
      <c r="K19" s="412">
        <v>277</v>
      </c>
      <c r="L19" s="58"/>
      <c r="M19" s="556"/>
      <c r="N19" s="548"/>
      <c r="O19" s="535"/>
      <c r="P19" s="581"/>
      <c r="Q19" s="538"/>
      <c r="R19" s="538"/>
      <c r="S19" s="538"/>
      <c r="T19" s="541"/>
    </row>
    <row r="20" spans="1:20" s="47" customFormat="1" ht="90" customHeight="1" x14ac:dyDescent="0.25">
      <c r="A20" s="544"/>
      <c r="B20" s="529"/>
      <c r="C20" s="532"/>
      <c r="D20" s="532"/>
      <c r="E20" s="517"/>
      <c r="F20" s="518"/>
      <c r="G20" s="523"/>
      <c r="H20" s="524"/>
      <c r="I20" s="70" t="s">
        <v>240</v>
      </c>
      <c r="J20" s="71">
        <v>279</v>
      </c>
      <c r="K20" s="331">
        <v>383</v>
      </c>
      <c r="L20" s="58"/>
      <c r="M20" s="582" t="s">
        <v>249</v>
      </c>
      <c r="N20" s="583"/>
      <c r="O20" s="533">
        <v>3</v>
      </c>
      <c r="P20" s="580">
        <v>20</v>
      </c>
      <c r="Q20" s="536">
        <v>422</v>
      </c>
      <c r="R20" s="536">
        <v>608</v>
      </c>
      <c r="S20" s="536">
        <v>465</v>
      </c>
      <c r="T20" s="540">
        <v>503</v>
      </c>
    </row>
    <row r="21" spans="1:20" s="47" customFormat="1" ht="75" customHeight="1" x14ac:dyDescent="0.25">
      <c r="A21" s="542" t="s">
        <v>250</v>
      </c>
      <c r="B21" s="527"/>
      <c r="C21" s="530">
        <v>0.193</v>
      </c>
      <c r="D21" s="530">
        <v>0.16</v>
      </c>
      <c r="E21" s="533">
        <v>3</v>
      </c>
      <c r="F21" s="533"/>
      <c r="G21" s="536">
        <v>22</v>
      </c>
      <c r="H21" s="536"/>
      <c r="I21" s="525" t="s">
        <v>251</v>
      </c>
      <c r="J21" s="551">
        <v>104</v>
      </c>
      <c r="K21" s="553">
        <v>216</v>
      </c>
      <c r="L21" s="58"/>
      <c r="M21" s="582"/>
      <c r="N21" s="583"/>
      <c r="O21" s="535"/>
      <c r="P21" s="581"/>
      <c r="Q21" s="538"/>
      <c r="R21" s="538"/>
      <c r="S21" s="538"/>
      <c r="T21" s="541"/>
    </row>
    <row r="22" spans="1:20" s="47" customFormat="1" ht="90" customHeight="1" x14ac:dyDescent="0.25">
      <c r="A22" s="543"/>
      <c r="B22" s="528"/>
      <c r="C22" s="531"/>
      <c r="D22" s="531"/>
      <c r="E22" s="534"/>
      <c r="F22" s="534"/>
      <c r="G22" s="537"/>
      <c r="H22" s="537"/>
      <c r="I22" s="526"/>
      <c r="J22" s="590"/>
      <c r="K22" s="584"/>
      <c r="L22" s="58"/>
      <c r="M22" s="585" t="s">
        <v>1157</v>
      </c>
      <c r="N22" s="547"/>
      <c r="O22" s="533">
        <v>3</v>
      </c>
      <c r="P22" s="580">
        <v>50</v>
      </c>
      <c r="Q22" s="536">
        <v>250</v>
      </c>
      <c r="R22" s="536" t="s">
        <v>92</v>
      </c>
      <c r="S22" s="536" t="s">
        <v>92</v>
      </c>
      <c r="T22" s="591" t="s">
        <v>92</v>
      </c>
    </row>
    <row r="23" spans="1:20" s="47" customFormat="1" ht="75" customHeight="1" x14ac:dyDescent="0.25">
      <c r="A23" s="543"/>
      <c r="B23" s="528"/>
      <c r="C23" s="531"/>
      <c r="D23" s="531"/>
      <c r="E23" s="534"/>
      <c r="F23" s="534"/>
      <c r="G23" s="537"/>
      <c r="H23" s="537"/>
      <c r="I23" s="526"/>
      <c r="J23" s="590"/>
      <c r="K23" s="584"/>
      <c r="L23" s="58"/>
      <c r="M23" s="586"/>
      <c r="N23" s="588"/>
      <c r="O23" s="534"/>
      <c r="P23" s="589"/>
      <c r="Q23" s="537"/>
      <c r="R23" s="537"/>
      <c r="S23" s="537"/>
      <c r="T23" s="592"/>
    </row>
    <row r="24" spans="1:20" s="47" customFormat="1" ht="22.5" customHeight="1" x14ac:dyDescent="0.25">
      <c r="A24" s="544"/>
      <c r="B24" s="529"/>
      <c r="C24" s="532"/>
      <c r="D24" s="532"/>
      <c r="E24" s="535"/>
      <c r="F24" s="535"/>
      <c r="G24" s="538"/>
      <c r="H24" s="538"/>
      <c r="I24" s="539"/>
      <c r="J24" s="552"/>
      <c r="K24" s="554"/>
      <c r="L24" s="58"/>
      <c r="M24" s="587"/>
      <c r="N24" s="548"/>
      <c r="O24" s="535"/>
      <c r="P24" s="581"/>
      <c r="Q24" s="538"/>
      <c r="R24" s="538"/>
      <c r="S24" s="538"/>
      <c r="T24" s="593"/>
    </row>
    <row r="25" spans="1:20" s="47" customFormat="1" ht="90" customHeight="1" x14ac:dyDescent="0.25">
      <c r="A25" s="332" t="s">
        <v>252</v>
      </c>
      <c r="B25" s="321"/>
      <c r="C25" s="321"/>
      <c r="D25" s="321"/>
      <c r="E25" s="321"/>
      <c r="F25" s="321"/>
      <c r="G25" s="321"/>
      <c r="H25" s="321"/>
      <c r="I25" s="321"/>
      <c r="J25" s="318" t="s">
        <v>230</v>
      </c>
      <c r="K25" s="327" t="s">
        <v>231</v>
      </c>
      <c r="L25" s="58"/>
      <c r="M25" s="555" t="s">
        <v>253</v>
      </c>
      <c r="N25" s="583"/>
      <c r="O25" s="533">
        <v>3</v>
      </c>
      <c r="P25" s="580">
        <v>24</v>
      </c>
      <c r="Q25" s="536" t="s">
        <v>254</v>
      </c>
      <c r="R25" s="549" t="s">
        <v>92</v>
      </c>
      <c r="S25" s="549" t="s">
        <v>92</v>
      </c>
      <c r="T25" s="540">
        <v>519</v>
      </c>
    </row>
    <row r="26" spans="1:20" s="47" customFormat="1" ht="93" customHeight="1" x14ac:dyDescent="0.25">
      <c r="A26" s="333" t="s">
        <v>255</v>
      </c>
      <c r="B26" s="73"/>
      <c r="C26" s="78">
        <v>0.34100000000000003</v>
      </c>
      <c r="D26" s="78">
        <v>0.30299999999999999</v>
      </c>
      <c r="E26" s="509">
        <v>3</v>
      </c>
      <c r="F26" s="510"/>
      <c r="G26" s="511">
        <v>22</v>
      </c>
      <c r="H26" s="512"/>
      <c r="I26" s="74" t="s">
        <v>256</v>
      </c>
      <c r="J26" s="75">
        <v>422</v>
      </c>
      <c r="K26" s="330">
        <v>464</v>
      </c>
      <c r="L26" s="58"/>
      <c r="M26" s="556"/>
      <c r="N26" s="583"/>
      <c r="O26" s="535"/>
      <c r="P26" s="581"/>
      <c r="Q26" s="538"/>
      <c r="R26" s="550"/>
      <c r="S26" s="550"/>
      <c r="T26" s="541"/>
    </row>
    <row r="27" spans="1:20" s="47" customFormat="1" ht="88.5" customHeight="1" x14ac:dyDescent="0.25">
      <c r="A27" s="333" t="s">
        <v>257</v>
      </c>
      <c r="B27" s="77"/>
      <c r="C27" s="78">
        <v>0.34100000000000003</v>
      </c>
      <c r="D27" s="78">
        <v>0.30299999999999999</v>
      </c>
      <c r="E27" s="509">
        <v>3</v>
      </c>
      <c r="F27" s="510"/>
      <c r="G27" s="511">
        <v>22</v>
      </c>
      <c r="H27" s="512"/>
      <c r="I27" s="74" t="s">
        <v>235</v>
      </c>
      <c r="J27" s="76">
        <v>538</v>
      </c>
      <c r="K27" s="330">
        <v>591</v>
      </c>
      <c r="L27" s="58"/>
      <c r="M27" s="555" t="s">
        <v>258</v>
      </c>
      <c r="N27" s="547"/>
      <c r="O27" s="533">
        <v>3</v>
      </c>
      <c r="P27" s="580">
        <v>20</v>
      </c>
      <c r="Q27" s="536" t="s">
        <v>254</v>
      </c>
      <c r="R27" s="549">
        <v>627</v>
      </c>
      <c r="S27" s="549" t="s">
        <v>92</v>
      </c>
      <c r="T27" s="540">
        <v>519</v>
      </c>
    </row>
    <row r="28" spans="1:20" s="47" customFormat="1" ht="92.25" customHeight="1" x14ac:dyDescent="0.25">
      <c r="A28" s="333" t="s">
        <v>259</v>
      </c>
      <c r="B28" s="73"/>
      <c r="C28" s="78">
        <v>0.26800000000000002</v>
      </c>
      <c r="D28" s="78">
        <v>0.22900000000000001</v>
      </c>
      <c r="E28" s="509">
        <v>3</v>
      </c>
      <c r="F28" s="510"/>
      <c r="G28" s="511">
        <v>22</v>
      </c>
      <c r="H28" s="512"/>
      <c r="I28" s="74" t="s">
        <v>256</v>
      </c>
      <c r="J28" s="75">
        <v>319</v>
      </c>
      <c r="K28" s="330">
        <v>464</v>
      </c>
      <c r="L28" s="58"/>
      <c r="M28" s="556"/>
      <c r="N28" s="548"/>
      <c r="O28" s="535"/>
      <c r="P28" s="581"/>
      <c r="Q28" s="538"/>
      <c r="R28" s="550"/>
      <c r="S28" s="550"/>
      <c r="T28" s="541"/>
    </row>
    <row r="29" spans="1:20" s="47" customFormat="1" ht="95.25" customHeight="1" x14ac:dyDescent="0.25">
      <c r="A29" s="333" t="s">
        <v>259</v>
      </c>
      <c r="B29" s="77"/>
      <c r="C29" s="78">
        <v>0.26800000000000002</v>
      </c>
      <c r="D29" s="78">
        <v>0.22900000000000001</v>
      </c>
      <c r="E29" s="509">
        <v>3</v>
      </c>
      <c r="F29" s="510"/>
      <c r="G29" s="511">
        <v>22</v>
      </c>
      <c r="H29" s="512"/>
      <c r="I29" s="74" t="s">
        <v>235</v>
      </c>
      <c r="J29" s="76">
        <v>406</v>
      </c>
      <c r="K29" s="330">
        <v>591</v>
      </c>
      <c r="L29" s="58"/>
      <c r="M29" s="611" t="s">
        <v>260</v>
      </c>
      <c r="N29" s="583"/>
      <c r="O29" s="533">
        <v>3.05</v>
      </c>
      <c r="P29" s="607">
        <v>12</v>
      </c>
      <c r="Q29" s="609" t="s">
        <v>254</v>
      </c>
      <c r="R29" s="549">
        <v>627</v>
      </c>
      <c r="S29" s="549" t="s">
        <v>92</v>
      </c>
      <c r="T29" s="595">
        <v>519</v>
      </c>
    </row>
    <row r="30" spans="1:20" s="47" customFormat="1" ht="87.75" customHeight="1" x14ac:dyDescent="0.25">
      <c r="A30" s="585" t="s">
        <v>261</v>
      </c>
      <c r="B30" s="597"/>
      <c r="C30" s="598">
        <v>0.28499999999999998</v>
      </c>
      <c r="D30" s="598">
        <v>0.246</v>
      </c>
      <c r="E30" s="599">
        <v>3</v>
      </c>
      <c r="F30" s="599"/>
      <c r="G30" s="600">
        <v>22</v>
      </c>
      <c r="H30" s="600"/>
      <c r="I30" s="74" t="s">
        <v>256</v>
      </c>
      <c r="J30" s="65">
        <v>456</v>
      </c>
      <c r="K30" s="334">
        <v>618</v>
      </c>
      <c r="L30" s="58"/>
      <c r="M30" s="612"/>
      <c r="N30" s="583"/>
      <c r="O30" s="534"/>
      <c r="P30" s="608"/>
      <c r="Q30" s="610"/>
      <c r="R30" s="594"/>
      <c r="S30" s="594"/>
      <c r="T30" s="596"/>
    </row>
    <row r="31" spans="1:20" s="47" customFormat="1" ht="80.25" customHeight="1" x14ac:dyDescent="0.25">
      <c r="A31" s="587"/>
      <c r="B31" s="597"/>
      <c r="C31" s="598"/>
      <c r="D31" s="598"/>
      <c r="E31" s="599"/>
      <c r="F31" s="599"/>
      <c r="G31" s="600"/>
      <c r="H31" s="600"/>
      <c r="I31" s="74" t="s">
        <v>235</v>
      </c>
      <c r="J31" s="72">
        <v>570</v>
      </c>
      <c r="K31" s="334">
        <v>772</v>
      </c>
      <c r="L31" s="58"/>
      <c r="M31" s="612"/>
      <c r="N31" s="583"/>
      <c r="O31" s="534"/>
      <c r="P31" s="608"/>
      <c r="Q31" s="610"/>
      <c r="R31" s="594"/>
      <c r="S31" s="594"/>
      <c r="T31" s="596"/>
    </row>
    <row r="32" spans="1:20" s="47" customFormat="1" ht="90" customHeight="1" thickBot="1" x14ac:dyDescent="0.3">
      <c r="A32" s="335" t="s">
        <v>262</v>
      </c>
      <c r="B32" s="601" t="s">
        <v>263</v>
      </c>
      <c r="C32" s="602"/>
      <c r="D32" s="603"/>
      <c r="E32" s="604" t="s">
        <v>264</v>
      </c>
      <c r="F32" s="605"/>
      <c r="G32" s="605"/>
      <c r="H32" s="605"/>
      <c r="I32" s="606"/>
      <c r="J32" s="322" t="s">
        <v>265</v>
      </c>
      <c r="K32" s="336" t="s">
        <v>266</v>
      </c>
      <c r="L32" s="58"/>
      <c r="M32" s="613"/>
      <c r="N32" s="547"/>
      <c r="O32" s="534"/>
      <c r="P32" s="608"/>
      <c r="Q32" s="610"/>
      <c r="R32" s="594"/>
      <c r="S32" s="594"/>
      <c r="T32" s="596"/>
    </row>
    <row r="33" spans="1:22" s="47" customFormat="1" ht="157.5" customHeight="1" thickBot="1" x14ac:dyDescent="0.3">
      <c r="A33" s="337" t="s">
        <v>267</v>
      </c>
      <c r="B33" s="497" t="s">
        <v>268</v>
      </c>
      <c r="C33" s="498"/>
      <c r="D33" s="499"/>
      <c r="E33" s="500" t="s">
        <v>269</v>
      </c>
      <c r="F33" s="501"/>
      <c r="G33" s="501"/>
      <c r="H33" s="501"/>
      <c r="I33" s="502"/>
      <c r="J33" s="79">
        <v>3456</v>
      </c>
      <c r="K33" s="338">
        <v>3110</v>
      </c>
      <c r="L33" s="58"/>
      <c r="M33" s="442" t="s">
        <v>270</v>
      </c>
      <c r="N33" s="450"/>
      <c r="O33" s="449">
        <v>3</v>
      </c>
      <c r="P33" s="60">
        <v>36</v>
      </c>
      <c r="Q33" s="60" t="s">
        <v>271</v>
      </c>
      <c r="R33" s="60" t="s">
        <v>92</v>
      </c>
      <c r="S33" s="60" t="s">
        <v>92</v>
      </c>
      <c r="T33" s="326">
        <v>404</v>
      </c>
    </row>
    <row r="34" spans="1:22" s="47" customFormat="1" ht="165" customHeight="1" thickBot="1" x14ac:dyDescent="0.3">
      <c r="A34" s="339" t="s">
        <v>272</v>
      </c>
      <c r="B34" s="503" t="s">
        <v>268</v>
      </c>
      <c r="C34" s="504"/>
      <c r="D34" s="505"/>
      <c r="E34" s="506" t="s">
        <v>273</v>
      </c>
      <c r="F34" s="507"/>
      <c r="G34" s="507"/>
      <c r="H34" s="507"/>
      <c r="I34" s="508"/>
      <c r="J34" s="340">
        <v>2016</v>
      </c>
      <c r="K34" s="341">
        <v>1814</v>
      </c>
      <c r="L34" s="80"/>
      <c r="M34" s="443" t="s">
        <v>1158</v>
      </c>
      <c r="N34" s="444"/>
      <c r="O34" s="445">
        <v>3</v>
      </c>
      <c r="P34" s="446">
        <v>60</v>
      </c>
      <c r="Q34" s="447" t="str">
        <f>ROUND(186*(1-L61),2)&amp;"*"</f>
        <v>186*</v>
      </c>
      <c r="R34" s="447" t="s">
        <v>92</v>
      </c>
      <c r="S34" s="447" t="s">
        <v>92</v>
      </c>
      <c r="T34" s="448" t="s">
        <v>92</v>
      </c>
    </row>
    <row r="35" spans="1:22" s="47" customFormat="1" ht="165" customHeight="1" x14ac:dyDescent="0.25">
      <c r="A35" s="82"/>
      <c r="B35" s="439"/>
      <c r="C35" s="439"/>
      <c r="D35" s="439"/>
      <c r="E35" s="440"/>
      <c r="F35" s="440"/>
      <c r="G35" s="440"/>
      <c r="H35" s="440"/>
      <c r="I35" s="440"/>
      <c r="J35" s="441"/>
      <c r="K35" s="441"/>
      <c r="L35" s="80"/>
      <c r="M35" s="496" t="s">
        <v>1159</v>
      </c>
      <c r="N35" s="496"/>
      <c r="O35" s="496"/>
      <c r="P35" s="496"/>
      <c r="Q35" s="496"/>
      <c r="R35" s="496"/>
      <c r="S35" s="496"/>
      <c r="T35" s="496"/>
    </row>
    <row r="36" spans="1:22" s="47" customFormat="1" ht="52.5" customHeight="1" x14ac:dyDescent="0.25">
      <c r="A36" s="82"/>
      <c r="B36" s="83"/>
      <c r="C36" s="83"/>
      <c r="D36" s="83"/>
      <c r="E36" s="84"/>
      <c r="F36" s="84"/>
      <c r="G36" s="84"/>
      <c r="H36" s="84"/>
      <c r="I36" s="84"/>
      <c r="J36" s="85"/>
      <c r="K36" s="85"/>
      <c r="L36" s="80"/>
      <c r="M36" s="86" t="s">
        <v>274</v>
      </c>
      <c r="P36" s="81"/>
      <c r="Q36" s="81"/>
      <c r="R36" s="81"/>
      <c r="S36" s="81"/>
      <c r="T36" s="81"/>
    </row>
    <row r="37" spans="1:22" s="47" customFormat="1" ht="44.25" x14ac:dyDescent="0.25">
      <c r="A37" s="86" t="s">
        <v>275</v>
      </c>
      <c r="B37" s="48"/>
      <c r="C37" s="48"/>
      <c r="D37" s="49"/>
      <c r="E37" s="48"/>
      <c r="F37" s="48"/>
      <c r="G37" s="48"/>
      <c r="H37" s="48"/>
      <c r="I37" s="48"/>
      <c r="J37" s="48"/>
      <c r="K37" s="48"/>
      <c r="L37" s="80"/>
      <c r="M37" s="86" t="s">
        <v>276</v>
      </c>
      <c r="O37" s="87"/>
      <c r="P37" s="88"/>
      <c r="Q37" s="89"/>
      <c r="R37" s="89"/>
      <c r="S37" s="89"/>
      <c r="T37" s="89"/>
    </row>
    <row r="38" spans="1:22" s="47" customFormat="1" ht="44.25" x14ac:dyDescent="0.25">
      <c r="B38" s="48"/>
      <c r="C38" s="48"/>
      <c r="D38" s="49"/>
      <c r="E38" s="48"/>
      <c r="F38" s="48"/>
      <c r="G38" s="48"/>
      <c r="H38" s="48"/>
      <c r="I38" s="48"/>
      <c r="J38" s="48"/>
      <c r="K38" s="48"/>
      <c r="L38" s="80"/>
      <c r="O38" s="87"/>
      <c r="P38" s="88"/>
      <c r="Q38" s="89"/>
      <c r="R38" s="89"/>
      <c r="S38" s="89"/>
      <c r="T38" s="89"/>
    </row>
    <row r="39" spans="1:22" s="47" customFormat="1" ht="45" x14ac:dyDescent="0.25">
      <c r="A39" s="90" t="s">
        <v>277</v>
      </c>
      <c r="B39" s="91"/>
      <c r="C39" s="91"/>
      <c r="D39" s="92"/>
      <c r="E39" s="91"/>
      <c r="F39" s="91"/>
      <c r="G39" s="91"/>
      <c r="H39" s="91"/>
      <c r="I39" s="91"/>
      <c r="J39" s="91"/>
      <c r="K39" s="91"/>
      <c r="L39" s="93"/>
      <c r="M39" s="90"/>
      <c r="N39" s="89"/>
      <c r="O39" s="89"/>
      <c r="P39" s="89"/>
      <c r="Q39" s="89"/>
      <c r="R39" s="89"/>
      <c r="S39" s="89"/>
      <c r="T39" s="89"/>
    </row>
    <row r="40" spans="1:22" s="47" customFormat="1" ht="45" x14ac:dyDescent="0.25">
      <c r="A40" s="90" t="s">
        <v>278</v>
      </c>
      <c r="B40" s="91"/>
      <c r="C40" s="91"/>
      <c r="D40" s="92"/>
      <c r="E40" s="91"/>
      <c r="F40" s="91"/>
      <c r="G40" s="91"/>
      <c r="H40" s="91"/>
      <c r="I40" s="91"/>
      <c r="J40" s="91"/>
      <c r="K40" s="91"/>
      <c r="L40" s="93"/>
      <c r="M40" s="90"/>
      <c r="N40" s="89"/>
      <c r="O40" s="89"/>
      <c r="P40" s="89"/>
      <c r="Q40" s="89"/>
      <c r="R40" s="89"/>
      <c r="S40" s="89"/>
      <c r="T40" s="89"/>
    </row>
    <row r="41" spans="1:22" s="47" customFormat="1" ht="44.25" x14ac:dyDescent="0.25">
      <c r="A41" s="86"/>
      <c r="B41" s="48"/>
      <c r="C41" s="48"/>
      <c r="D41" s="49"/>
      <c r="E41" s="48"/>
      <c r="F41" s="48"/>
      <c r="G41" s="48"/>
      <c r="H41" s="48"/>
      <c r="I41" s="48"/>
      <c r="J41" s="48"/>
      <c r="K41" s="48"/>
      <c r="L41" s="80"/>
      <c r="M41" s="86"/>
      <c r="N41" s="89"/>
      <c r="O41" s="89"/>
      <c r="P41" s="89"/>
      <c r="Q41" s="89"/>
      <c r="R41" s="89"/>
      <c r="S41" s="89"/>
      <c r="T41" s="89"/>
    </row>
    <row r="42" spans="1:22" s="47" customFormat="1" ht="45" x14ac:dyDescent="0.25">
      <c r="A42" s="94" t="s">
        <v>279</v>
      </c>
      <c r="B42" s="95"/>
      <c r="C42" s="95"/>
      <c r="D42" s="96"/>
      <c r="E42" s="95"/>
      <c r="F42" s="95"/>
      <c r="G42" s="95"/>
      <c r="H42" s="95"/>
      <c r="I42" s="95"/>
      <c r="J42" s="95"/>
      <c r="K42" s="95"/>
      <c r="L42" s="97"/>
      <c r="N42" s="89"/>
      <c r="O42" s="89"/>
      <c r="P42" s="89"/>
      <c r="Q42" s="89"/>
      <c r="R42" s="89"/>
      <c r="S42" s="89"/>
      <c r="T42" s="89"/>
      <c r="U42" s="89"/>
      <c r="V42" s="89"/>
    </row>
    <row r="43" spans="1:22" s="47" customFormat="1" ht="45" x14ac:dyDescent="0.25">
      <c r="A43" s="94" t="s">
        <v>280</v>
      </c>
      <c r="B43" s="95"/>
      <c r="C43" s="95"/>
      <c r="D43" s="96"/>
      <c r="E43" s="95"/>
      <c r="F43" s="95"/>
      <c r="G43" s="95"/>
      <c r="H43" s="95"/>
      <c r="I43" s="95"/>
      <c r="J43" s="95"/>
      <c r="K43" s="95"/>
      <c r="L43" s="97"/>
      <c r="N43" s="89"/>
      <c r="O43" s="89"/>
      <c r="P43" s="89"/>
      <c r="Q43" s="89"/>
      <c r="R43" s="89"/>
      <c r="S43" s="89"/>
      <c r="T43" s="89"/>
      <c r="U43" s="89"/>
      <c r="V43" s="89"/>
    </row>
    <row r="44" spans="1:22" s="47" customFormat="1" ht="45" x14ac:dyDescent="0.25">
      <c r="A44" s="94" t="s">
        <v>281</v>
      </c>
      <c r="B44" s="95"/>
      <c r="C44" s="95"/>
      <c r="D44" s="96"/>
      <c r="E44" s="95"/>
      <c r="F44" s="95"/>
      <c r="G44" s="95"/>
      <c r="H44" s="95"/>
      <c r="I44" s="95"/>
      <c r="J44" s="95"/>
      <c r="K44" s="95"/>
      <c r="L44" s="97"/>
      <c r="N44" s="89"/>
      <c r="O44" s="89"/>
      <c r="P44" s="89"/>
      <c r="Q44" s="89"/>
      <c r="R44" s="89"/>
      <c r="S44" s="89"/>
      <c r="T44" s="89"/>
      <c r="U44" s="89"/>
      <c r="V44" s="89"/>
    </row>
    <row r="45" spans="1:22" s="47" customFormat="1" ht="44.25" x14ac:dyDescent="0.25">
      <c r="A45" s="89"/>
      <c r="B45" s="98"/>
      <c r="C45" s="98"/>
      <c r="D45" s="99"/>
      <c r="E45" s="99"/>
      <c r="F45" s="99"/>
      <c r="G45" s="99"/>
      <c r="H45" s="99"/>
      <c r="I45" s="99"/>
      <c r="J45" s="100"/>
      <c r="K45" s="100"/>
      <c r="L45" s="101"/>
      <c r="M45" s="89"/>
      <c r="N45" s="89"/>
      <c r="O45" s="89"/>
      <c r="P45" s="89"/>
      <c r="Q45" s="89"/>
      <c r="R45" s="89"/>
      <c r="S45" s="89"/>
      <c r="T45" s="89"/>
      <c r="U45" s="89"/>
      <c r="V45" s="89"/>
    </row>
    <row r="46" spans="1:22" s="47" customFormat="1" ht="45" x14ac:dyDescent="0.25">
      <c r="A46" s="89"/>
      <c r="B46" s="102"/>
      <c r="C46" s="102"/>
      <c r="D46" s="102"/>
      <c r="E46" s="102"/>
      <c r="F46" s="102"/>
      <c r="G46" s="102"/>
      <c r="H46" s="102"/>
      <c r="I46" s="102"/>
      <c r="J46" s="103"/>
      <c r="K46" s="103"/>
      <c r="L46" s="101"/>
      <c r="M46" s="95"/>
      <c r="N46" s="95"/>
      <c r="O46" s="95"/>
      <c r="P46" s="95"/>
      <c r="Q46" s="95"/>
      <c r="R46" s="95"/>
      <c r="S46" s="95"/>
      <c r="T46" s="95"/>
      <c r="U46" s="89"/>
      <c r="V46" s="89"/>
    </row>
    <row r="47" spans="1:22" s="48" customFormat="1" ht="45" x14ac:dyDescent="0.25">
      <c r="A47" s="95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89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s="48" customFormat="1" ht="44.25" x14ac:dyDescent="0.25">
      <c r="A48" s="89"/>
      <c r="B48" s="105"/>
      <c r="C48" s="105"/>
      <c r="D48" s="106"/>
      <c r="E48" s="107"/>
      <c r="F48" s="107"/>
      <c r="G48" s="107"/>
      <c r="H48" s="108"/>
      <c r="I48" s="109"/>
      <c r="J48" s="110"/>
      <c r="K48" s="88"/>
      <c r="L48" s="89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s="48" customFormat="1" ht="44.25" x14ac:dyDescent="0.25">
      <c r="A49" s="95"/>
      <c r="B49" s="96"/>
      <c r="C49" s="96"/>
      <c r="D49" s="95"/>
      <c r="E49" s="95"/>
      <c r="F49" s="95"/>
      <c r="G49" s="95"/>
      <c r="H49" s="95"/>
      <c r="I49" s="95"/>
      <c r="J49" s="95"/>
      <c r="K49" s="89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s="48" customFormat="1" ht="44.25" x14ac:dyDescent="0.25">
      <c r="A50" s="111"/>
      <c r="B50" s="96"/>
      <c r="C50" s="96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s="48" customFormat="1" ht="44.25" x14ac:dyDescent="0.25">
      <c r="A51" s="95"/>
      <c r="B51" s="96"/>
      <c r="C51" s="96"/>
      <c r="D51" s="95"/>
      <c r="E51" s="95"/>
      <c r="F51" s="95"/>
      <c r="G51" s="95"/>
      <c r="H51" s="95"/>
      <c r="I51" s="95"/>
      <c r="J51" s="95"/>
      <c r="K51" s="95"/>
      <c r="L51" s="95"/>
      <c r="M51" s="89"/>
      <c r="N51" s="89"/>
      <c r="O51" s="89"/>
      <c r="P51" s="89"/>
      <c r="Q51" s="89"/>
      <c r="R51" s="89"/>
      <c r="S51" s="89"/>
      <c r="T51" s="89"/>
      <c r="U51" s="95"/>
      <c r="V51" s="95"/>
    </row>
    <row r="52" spans="1:22" s="47" customFormat="1" ht="44.25" x14ac:dyDescent="0.25">
      <c r="A52" s="95"/>
      <c r="B52" s="96"/>
      <c r="C52" s="96"/>
      <c r="D52" s="95"/>
      <c r="E52" s="95"/>
      <c r="F52" s="95"/>
      <c r="G52" s="95"/>
      <c r="H52" s="95"/>
      <c r="I52" s="95"/>
      <c r="J52" s="95"/>
      <c r="K52" s="95"/>
      <c r="L52" s="95"/>
      <c r="M52" s="89"/>
      <c r="N52" s="89"/>
      <c r="O52" s="89"/>
      <c r="P52" s="89"/>
      <c r="Q52" s="89"/>
      <c r="R52" s="89"/>
      <c r="S52" s="89"/>
      <c r="T52" s="89"/>
      <c r="U52" s="89"/>
      <c r="V52" s="89"/>
    </row>
    <row r="53" spans="1:22" s="47" customFormat="1" ht="44.25" x14ac:dyDescent="0.25">
      <c r="A53" s="95"/>
      <c r="B53" s="96"/>
      <c r="C53" s="96"/>
      <c r="D53" s="95"/>
      <c r="E53" s="95"/>
      <c r="F53" s="95"/>
      <c r="G53" s="95"/>
      <c r="H53" s="95"/>
      <c r="I53" s="95"/>
      <c r="J53" s="95"/>
      <c r="K53" s="89"/>
      <c r="L53" s="95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22" s="47" customFormat="1" ht="44.25" x14ac:dyDescent="0.25">
      <c r="A54" s="95" t="s">
        <v>282</v>
      </c>
      <c r="B54" s="96"/>
      <c r="C54" s="96"/>
      <c r="D54" s="95"/>
      <c r="E54" s="95"/>
      <c r="F54" s="95"/>
      <c r="G54" s="95"/>
      <c r="H54" s="95"/>
      <c r="I54" s="95"/>
      <c r="J54" s="95"/>
      <c r="K54" s="89"/>
      <c r="L54" s="95"/>
      <c r="M54" s="89"/>
      <c r="N54" s="89"/>
      <c r="O54" s="89"/>
      <c r="P54" s="89"/>
      <c r="Q54" s="89"/>
      <c r="R54" s="89"/>
      <c r="S54" s="89"/>
      <c r="T54" s="89"/>
      <c r="U54" s="89"/>
      <c r="V54" s="89"/>
    </row>
    <row r="55" spans="1:22" s="112" customFormat="1" ht="12.75" x14ac:dyDescent="0.2">
      <c r="B55" s="113"/>
      <c r="C55" s="113"/>
      <c r="D55" s="114"/>
      <c r="E55" s="113"/>
      <c r="F55" s="113"/>
      <c r="G55" s="113"/>
      <c r="H55" s="113"/>
      <c r="I55" s="113"/>
      <c r="J55" s="113"/>
      <c r="K55" s="113"/>
      <c r="L55" s="115"/>
    </row>
    <row r="56" spans="1:22" s="112" customFormat="1" ht="12.75" x14ac:dyDescent="0.2">
      <c r="B56" s="113"/>
      <c r="C56" s="113"/>
      <c r="D56" s="114"/>
      <c r="E56" s="113"/>
      <c r="F56" s="113"/>
      <c r="G56" s="113"/>
      <c r="H56" s="113"/>
      <c r="I56" s="113"/>
      <c r="J56" s="113"/>
      <c r="K56" s="113"/>
      <c r="L56" s="115"/>
    </row>
    <row r="57" spans="1:22" s="112" customFormat="1" ht="12.75" x14ac:dyDescent="0.2">
      <c r="B57" s="113"/>
      <c r="C57" s="113"/>
      <c r="D57" s="114"/>
      <c r="E57" s="113"/>
      <c r="F57" s="113"/>
      <c r="G57" s="113"/>
      <c r="H57" s="113"/>
      <c r="I57" s="113"/>
      <c r="J57" s="113"/>
      <c r="K57" s="113"/>
      <c r="L57" s="115"/>
    </row>
    <row r="58" spans="1:22" s="112" customFormat="1" ht="12.75" x14ac:dyDescent="0.2">
      <c r="B58" s="113"/>
      <c r="C58" s="113"/>
      <c r="D58" s="114"/>
      <c r="E58" s="113"/>
      <c r="F58" s="113"/>
      <c r="G58" s="113"/>
      <c r="H58" s="113"/>
      <c r="I58" s="113"/>
      <c r="J58" s="113"/>
      <c r="K58" s="113"/>
      <c r="L58" s="115"/>
    </row>
    <row r="59" spans="1:22" s="112" customFormat="1" ht="12.75" x14ac:dyDescent="0.2">
      <c r="B59" s="113"/>
      <c r="C59" s="113"/>
      <c r="D59" s="114"/>
      <c r="E59" s="113"/>
      <c r="F59" s="113"/>
      <c r="G59" s="113"/>
      <c r="H59" s="113"/>
      <c r="I59" s="113"/>
      <c r="J59" s="113"/>
      <c r="K59" s="113"/>
      <c r="L59" s="115"/>
    </row>
    <row r="60" spans="1:22" s="112" customFormat="1" ht="12.75" x14ac:dyDescent="0.2">
      <c r="B60" s="113"/>
      <c r="C60" s="113"/>
      <c r="D60" s="114"/>
      <c r="E60" s="113"/>
      <c r="F60" s="113"/>
      <c r="G60" s="113"/>
      <c r="H60" s="113"/>
      <c r="I60" s="113"/>
      <c r="J60" s="113"/>
      <c r="K60" s="113"/>
      <c r="L60" s="115"/>
    </row>
    <row r="61" spans="1:22" s="112" customFormat="1" ht="12.75" x14ac:dyDescent="0.2">
      <c r="B61" s="113"/>
      <c r="C61" s="113"/>
      <c r="D61" s="114"/>
      <c r="E61" s="113"/>
      <c r="F61" s="113"/>
      <c r="G61" s="113"/>
      <c r="H61" s="113"/>
      <c r="I61" s="113"/>
      <c r="J61" s="113"/>
      <c r="K61" s="113"/>
      <c r="L61" s="115"/>
    </row>
    <row r="62" spans="1:22" s="112" customFormat="1" ht="12.75" x14ac:dyDescent="0.2">
      <c r="B62" s="113"/>
      <c r="C62" s="113"/>
      <c r="D62" s="114"/>
      <c r="E62" s="113"/>
      <c r="F62" s="113"/>
      <c r="G62" s="113"/>
      <c r="H62" s="113"/>
      <c r="I62" s="113"/>
      <c r="J62" s="113"/>
      <c r="K62" s="113"/>
      <c r="L62" s="115"/>
    </row>
    <row r="63" spans="1:22" s="112" customFormat="1" ht="12.75" x14ac:dyDescent="0.2">
      <c r="B63" s="113"/>
      <c r="C63" s="113"/>
      <c r="D63" s="114"/>
      <c r="E63" s="113"/>
      <c r="F63" s="113"/>
      <c r="G63" s="113"/>
      <c r="H63" s="113"/>
      <c r="I63" s="113"/>
      <c r="J63" s="113"/>
      <c r="K63" s="113"/>
      <c r="L63" s="115"/>
    </row>
    <row r="64" spans="1:22" s="112" customFormat="1" ht="12.75" x14ac:dyDescent="0.2">
      <c r="B64" s="113"/>
      <c r="C64" s="113"/>
      <c r="D64" s="114"/>
      <c r="E64" s="113"/>
      <c r="F64" s="113"/>
      <c r="G64" s="113"/>
      <c r="H64" s="113"/>
      <c r="I64" s="113"/>
      <c r="J64" s="113"/>
      <c r="K64" s="113"/>
      <c r="L64" s="115"/>
    </row>
    <row r="65" spans="2:12" s="112" customFormat="1" ht="12.75" x14ac:dyDescent="0.2">
      <c r="B65" s="113"/>
      <c r="C65" s="113"/>
      <c r="D65" s="114"/>
      <c r="E65" s="113"/>
      <c r="F65" s="113"/>
      <c r="G65" s="113"/>
      <c r="H65" s="113"/>
      <c r="I65" s="113"/>
      <c r="J65" s="113"/>
      <c r="K65" s="113"/>
      <c r="L65" s="115"/>
    </row>
    <row r="66" spans="2:12" s="112" customFormat="1" ht="12.75" x14ac:dyDescent="0.2">
      <c r="B66" s="113"/>
      <c r="C66" s="113"/>
      <c r="D66" s="114"/>
      <c r="E66" s="113"/>
      <c r="F66" s="113"/>
      <c r="G66" s="113"/>
      <c r="H66" s="113"/>
      <c r="I66" s="113"/>
      <c r="J66" s="113"/>
      <c r="K66" s="113"/>
      <c r="L66" s="115"/>
    </row>
    <row r="67" spans="2:12" s="112" customFormat="1" ht="12.75" x14ac:dyDescent="0.2">
      <c r="B67" s="113"/>
      <c r="C67" s="113"/>
      <c r="D67" s="114"/>
      <c r="E67" s="113"/>
      <c r="F67" s="113"/>
      <c r="G67" s="113"/>
      <c r="H67" s="113"/>
      <c r="I67" s="113"/>
      <c r="J67" s="113"/>
      <c r="K67" s="113"/>
      <c r="L67" s="115"/>
    </row>
    <row r="68" spans="2:12" s="112" customFormat="1" ht="12.75" x14ac:dyDescent="0.2">
      <c r="B68" s="113"/>
      <c r="C68" s="113"/>
      <c r="D68" s="114"/>
      <c r="E68" s="113"/>
      <c r="F68" s="113"/>
      <c r="G68" s="113"/>
      <c r="H68" s="113"/>
      <c r="I68" s="113"/>
      <c r="J68" s="113"/>
      <c r="K68" s="113"/>
      <c r="L68" s="115"/>
    </row>
    <row r="69" spans="2:12" s="112" customFormat="1" ht="12.75" x14ac:dyDescent="0.2">
      <c r="B69" s="113"/>
      <c r="C69" s="113"/>
      <c r="D69" s="114"/>
      <c r="E69" s="113"/>
      <c r="F69" s="113"/>
      <c r="G69" s="113"/>
      <c r="H69" s="113"/>
      <c r="I69" s="113"/>
      <c r="J69" s="113"/>
      <c r="K69" s="113"/>
      <c r="L69" s="115"/>
    </row>
    <row r="70" spans="2:12" s="112" customFormat="1" ht="12.75" x14ac:dyDescent="0.2">
      <c r="B70" s="113"/>
      <c r="C70" s="113"/>
      <c r="D70" s="114"/>
      <c r="E70" s="113"/>
      <c r="F70" s="113"/>
      <c r="G70" s="113"/>
      <c r="H70" s="113"/>
      <c r="I70" s="113"/>
      <c r="J70" s="113"/>
      <c r="K70" s="113"/>
      <c r="L70" s="115"/>
    </row>
    <row r="71" spans="2:12" s="112" customFormat="1" ht="12.75" x14ac:dyDescent="0.2">
      <c r="B71" s="113"/>
      <c r="C71" s="113"/>
      <c r="D71" s="114"/>
      <c r="E71" s="113"/>
      <c r="F71" s="113"/>
      <c r="G71" s="113"/>
      <c r="H71" s="113"/>
      <c r="I71" s="113"/>
      <c r="J71" s="113"/>
      <c r="K71" s="113"/>
      <c r="L71" s="115"/>
    </row>
    <row r="72" spans="2:12" s="112" customFormat="1" ht="12.75" x14ac:dyDescent="0.2">
      <c r="B72" s="113"/>
      <c r="C72" s="113"/>
      <c r="D72" s="114"/>
      <c r="E72" s="113"/>
      <c r="F72" s="113"/>
      <c r="G72" s="113"/>
      <c r="H72" s="113"/>
      <c r="I72" s="113"/>
      <c r="J72" s="113"/>
      <c r="K72" s="113"/>
      <c r="L72" s="115"/>
    </row>
    <row r="73" spans="2:12" s="112" customFormat="1" ht="12.75" x14ac:dyDescent="0.2">
      <c r="B73" s="113"/>
      <c r="C73" s="113"/>
      <c r="D73" s="114"/>
      <c r="E73" s="113"/>
      <c r="F73" s="113"/>
      <c r="G73" s="113"/>
      <c r="H73" s="113"/>
      <c r="I73" s="113"/>
      <c r="J73" s="113"/>
      <c r="K73" s="113"/>
      <c r="L73" s="115"/>
    </row>
    <row r="74" spans="2:12" s="112" customFormat="1" ht="12.75" x14ac:dyDescent="0.2">
      <c r="B74" s="113"/>
      <c r="C74" s="113"/>
      <c r="D74" s="114"/>
      <c r="E74" s="113"/>
      <c r="F74" s="113"/>
      <c r="G74" s="113"/>
      <c r="H74" s="113"/>
      <c r="I74" s="113"/>
      <c r="J74" s="113"/>
      <c r="K74" s="113"/>
      <c r="L74" s="115"/>
    </row>
    <row r="75" spans="2:12" s="112" customFormat="1" ht="12.75" x14ac:dyDescent="0.2">
      <c r="B75" s="113"/>
      <c r="C75" s="113"/>
      <c r="D75" s="114"/>
      <c r="E75" s="113"/>
      <c r="F75" s="113"/>
      <c r="G75" s="113"/>
      <c r="H75" s="113"/>
      <c r="I75" s="113"/>
      <c r="J75" s="113"/>
      <c r="K75" s="113"/>
      <c r="L75" s="115"/>
    </row>
    <row r="76" spans="2:12" s="112" customFormat="1" ht="12.75" x14ac:dyDescent="0.2">
      <c r="B76" s="113"/>
      <c r="C76" s="113"/>
      <c r="D76" s="114"/>
      <c r="E76" s="113"/>
      <c r="F76" s="113"/>
      <c r="G76" s="113"/>
      <c r="H76" s="113"/>
      <c r="I76" s="113"/>
      <c r="J76" s="113"/>
      <c r="K76" s="113"/>
      <c r="L76" s="115"/>
    </row>
    <row r="77" spans="2:12" s="112" customFormat="1" ht="12.75" x14ac:dyDescent="0.2">
      <c r="B77" s="113"/>
      <c r="C77" s="113"/>
      <c r="D77" s="114"/>
      <c r="E77" s="113"/>
      <c r="F77" s="113"/>
      <c r="G77" s="113"/>
      <c r="H77" s="113"/>
      <c r="I77" s="113"/>
      <c r="J77" s="113"/>
      <c r="K77" s="113"/>
      <c r="L77" s="115"/>
    </row>
    <row r="78" spans="2:12" s="112" customFormat="1" ht="12.75" x14ac:dyDescent="0.2">
      <c r="B78" s="113"/>
      <c r="C78" s="113"/>
      <c r="D78" s="114"/>
      <c r="E78" s="113"/>
      <c r="F78" s="113"/>
      <c r="G78" s="113"/>
      <c r="H78" s="113"/>
      <c r="I78" s="113"/>
      <c r="J78" s="113"/>
      <c r="K78" s="113"/>
      <c r="L78" s="115"/>
    </row>
    <row r="79" spans="2:12" s="112" customFormat="1" ht="12.75" x14ac:dyDescent="0.2">
      <c r="B79" s="113"/>
      <c r="C79" s="113"/>
      <c r="D79" s="114"/>
      <c r="E79" s="113"/>
      <c r="F79" s="113"/>
      <c r="G79" s="113"/>
      <c r="H79" s="113"/>
      <c r="I79" s="113"/>
      <c r="J79" s="113"/>
      <c r="K79" s="113"/>
      <c r="L79" s="115"/>
    </row>
    <row r="80" spans="2:12" s="112" customFormat="1" ht="12.75" x14ac:dyDescent="0.2">
      <c r="B80" s="113"/>
      <c r="C80" s="113"/>
      <c r="D80" s="114"/>
      <c r="E80" s="113"/>
      <c r="F80" s="113"/>
      <c r="G80" s="113"/>
      <c r="H80" s="113"/>
      <c r="I80" s="113"/>
      <c r="J80" s="113"/>
      <c r="K80" s="113"/>
      <c r="L80" s="115"/>
    </row>
    <row r="81" spans="2:12" s="112" customFormat="1" ht="12.75" x14ac:dyDescent="0.2">
      <c r="B81" s="113"/>
      <c r="C81" s="113"/>
      <c r="D81" s="114"/>
      <c r="E81" s="113"/>
      <c r="F81" s="113"/>
      <c r="G81" s="113"/>
      <c r="H81" s="113"/>
      <c r="I81" s="113"/>
      <c r="J81" s="113"/>
      <c r="K81" s="113"/>
      <c r="L81" s="115"/>
    </row>
    <row r="82" spans="2:12" s="112" customFormat="1" ht="12.75" x14ac:dyDescent="0.2">
      <c r="B82" s="113"/>
      <c r="C82" s="113"/>
      <c r="D82" s="114"/>
      <c r="E82" s="113"/>
      <c r="F82" s="113"/>
      <c r="G82" s="113"/>
      <c r="H82" s="113"/>
      <c r="I82" s="113"/>
      <c r="J82" s="113"/>
      <c r="K82" s="113"/>
      <c r="L82" s="115"/>
    </row>
    <row r="83" spans="2:12" s="112" customFormat="1" ht="12.75" x14ac:dyDescent="0.2">
      <c r="B83" s="113"/>
      <c r="C83" s="113"/>
      <c r="D83" s="114"/>
      <c r="E83" s="113"/>
      <c r="F83" s="113"/>
      <c r="G83" s="113"/>
      <c r="H83" s="113"/>
      <c r="I83" s="113"/>
      <c r="J83" s="113"/>
      <c r="K83" s="113"/>
      <c r="L83" s="115"/>
    </row>
    <row r="84" spans="2:12" s="112" customFormat="1" ht="12.75" x14ac:dyDescent="0.2">
      <c r="B84" s="113"/>
      <c r="C84" s="113"/>
      <c r="D84" s="114"/>
      <c r="E84" s="113"/>
      <c r="F84" s="113"/>
      <c r="G84" s="113"/>
      <c r="H84" s="113"/>
      <c r="I84" s="113"/>
      <c r="J84" s="113"/>
      <c r="K84" s="113"/>
      <c r="L84" s="115"/>
    </row>
    <row r="85" spans="2:12" s="112" customFormat="1" ht="12.75" x14ac:dyDescent="0.2">
      <c r="B85" s="113"/>
      <c r="C85" s="113"/>
      <c r="D85" s="114"/>
      <c r="E85" s="113"/>
      <c r="F85" s="113"/>
      <c r="G85" s="113"/>
      <c r="H85" s="113"/>
      <c r="I85" s="113"/>
      <c r="J85" s="113"/>
      <c r="K85" s="113"/>
      <c r="L85" s="115"/>
    </row>
    <row r="86" spans="2:12" s="112" customFormat="1" ht="12.75" x14ac:dyDescent="0.2">
      <c r="B86" s="113"/>
      <c r="C86" s="113"/>
      <c r="D86" s="114"/>
      <c r="E86" s="113"/>
      <c r="F86" s="113"/>
      <c r="G86" s="113"/>
      <c r="H86" s="113"/>
      <c r="I86" s="113"/>
      <c r="J86" s="113"/>
      <c r="K86" s="113"/>
      <c r="L86" s="115"/>
    </row>
    <row r="87" spans="2:12" s="112" customFormat="1" ht="12.75" x14ac:dyDescent="0.2">
      <c r="B87" s="113"/>
      <c r="C87" s="113"/>
      <c r="D87" s="114"/>
      <c r="E87" s="113"/>
      <c r="F87" s="113"/>
      <c r="G87" s="113"/>
      <c r="H87" s="113"/>
      <c r="I87" s="113"/>
      <c r="J87" s="113"/>
      <c r="K87" s="113"/>
      <c r="L87" s="115"/>
    </row>
    <row r="88" spans="2:12" s="112" customFormat="1" ht="12.75" x14ac:dyDescent="0.2">
      <c r="B88" s="113"/>
      <c r="C88" s="113"/>
      <c r="D88" s="114"/>
      <c r="E88" s="113"/>
      <c r="F88" s="113"/>
      <c r="G88" s="113"/>
      <c r="H88" s="113"/>
      <c r="I88" s="113"/>
      <c r="J88" s="113"/>
      <c r="K88" s="113"/>
      <c r="L88" s="115"/>
    </row>
    <row r="89" spans="2:12" s="112" customFormat="1" ht="12.75" x14ac:dyDescent="0.2">
      <c r="B89" s="113"/>
      <c r="C89" s="113"/>
      <c r="D89" s="114"/>
      <c r="E89" s="113"/>
      <c r="F89" s="113"/>
      <c r="G89" s="113"/>
      <c r="H89" s="113"/>
      <c r="I89" s="113"/>
      <c r="J89" s="113"/>
      <c r="K89" s="113"/>
      <c r="L89" s="115"/>
    </row>
    <row r="90" spans="2:12" s="112" customFormat="1" ht="12.75" x14ac:dyDescent="0.2">
      <c r="B90" s="113"/>
      <c r="C90" s="113"/>
      <c r="D90" s="114"/>
      <c r="E90" s="113"/>
      <c r="F90" s="113"/>
      <c r="G90" s="113"/>
      <c r="H90" s="113"/>
      <c r="I90" s="113"/>
      <c r="J90" s="113"/>
      <c r="K90" s="113"/>
      <c r="L90" s="115"/>
    </row>
    <row r="91" spans="2:12" s="112" customFormat="1" ht="12.75" x14ac:dyDescent="0.2">
      <c r="B91" s="113"/>
      <c r="C91" s="113"/>
      <c r="D91" s="114"/>
      <c r="E91" s="113"/>
      <c r="F91" s="113"/>
      <c r="G91" s="113"/>
      <c r="H91" s="113"/>
      <c r="I91" s="113"/>
      <c r="J91" s="113"/>
      <c r="K91" s="113"/>
      <c r="L91" s="115"/>
    </row>
    <row r="92" spans="2:12" s="112" customFormat="1" ht="12.75" x14ac:dyDescent="0.2">
      <c r="B92" s="113"/>
      <c r="C92" s="113"/>
      <c r="D92" s="114"/>
      <c r="E92" s="113"/>
      <c r="F92" s="113"/>
      <c r="G92" s="113"/>
      <c r="H92" s="113"/>
      <c r="I92" s="113"/>
      <c r="J92" s="113"/>
      <c r="K92" s="113"/>
      <c r="L92" s="115"/>
    </row>
    <row r="93" spans="2:12" s="112" customFormat="1" ht="12.75" x14ac:dyDescent="0.2">
      <c r="B93" s="113"/>
      <c r="C93" s="113"/>
      <c r="D93" s="114"/>
      <c r="E93" s="113"/>
      <c r="F93" s="113"/>
      <c r="G93" s="113"/>
      <c r="H93" s="113"/>
      <c r="I93" s="113"/>
      <c r="J93" s="113"/>
      <c r="K93" s="113"/>
      <c r="L93" s="115"/>
    </row>
    <row r="94" spans="2:12" s="112" customFormat="1" ht="12.75" x14ac:dyDescent="0.2">
      <c r="B94" s="113"/>
      <c r="C94" s="113"/>
      <c r="D94" s="114"/>
      <c r="E94" s="113"/>
      <c r="F94" s="113"/>
      <c r="G94" s="113"/>
      <c r="H94" s="113"/>
      <c r="I94" s="113"/>
      <c r="J94" s="113"/>
      <c r="K94" s="113"/>
      <c r="L94" s="115"/>
    </row>
    <row r="95" spans="2:12" s="112" customFormat="1" ht="12.75" x14ac:dyDescent="0.2">
      <c r="B95" s="113"/>
      <c r="C95" s="113"/>
      <c r="D95" s="114"/>
      <c r="E95" s="113"/>
      <c r="F95" s="113"/>
      <c r="G95" s="113"/>
      <c r="H95" s="113"/>
      <c r="I95" s="113"/>
      <c r="J95" s="113"/>
      <c r="K95" s="113"/>
      <c r="L95" s="115"/>
    </row>
    <row r="96" spans="2:12" s="112" customFormat="1" ht="12.75" x14ac:dyDescent="0.2">
      <c r="B96" s="113"/>
      <c r="C96" s="113"/>
      <c r="D96" s="114"/>
      <c r="E96" s="113"/>
      <c r="F96" s="113"/>
      <c r="G96" s="113"/>
      <c r="H96" s="113"/>
      <c r="I96" s="113"/>
      <c r="J96" s="113"/>
      <c r="K96" s="113"/>
      <c r="L96" s="115"/>
    </row>
    <row r="97" spans="2:12" s="112" customFormat="1" ht="12.75" x14ac:dyDescent="0.2">
      <c r="B97" s="113"/>
      <c r="C97" s="113"/>
      <c r="D97" s="114"/>
      <c r="E97" s="113"/>
      <c r="F97" s="113"/>
      <c r="G97" s="113"/>
      <c r="H97" s="113"/>
      <c r="I97" s="113"/>
      <c r="J97" s="113"/>
      <c r="K97" s="113"/>
      <c r="L97" s="115"/>
    </row>
    <row r="98" spans="2:12" s="112" customFormat="1" ht="12.75" x14ac:dyDescent="0.2">
      <c r="B98" s="113"/>
      <c r="C98" s="113"/>
      <c r="D98" s="114"/>
      <c r="E98" s="113"/>
      <c r="F98" s="113"/>
      <c r="G98" s="113"/>
      <c r="H98" s="113"/>
      <c r="I98" s="113"/>
      <c r="J98" s="113"/>
      <c r="K98" s="113"/>
      <c r="L98" s="115"/>
    </row>
    <row r="99" spans="2:12" s="112" customFormat="1" ht="12.75" x14ac:dyDescent="0.2">
      <c r="B99" s="113"/>
      <c r="C99" s="113"/>
      <c r="D99" s="114"/>
      <c r="E99" s="113"/>
      <c r="F99" s="113"/>
      <c r="G99" s="113"/>
      <c r="H99" s="113"/>
      <c r="I99" s="113"/>
      <c r="J99" s="113"/>
      <c r="K99" s="113"/>
      <c r="L99" s="115"/>
    </row>
    <row r="100" spans="2:12" s="112" customFormat="1" ht="12.75" x14ac:dyDescent="0.2">
      <c r="B100" s="113"/>
      <c r="C100" s="113"/>
      <c r="D100" s="114"/>
      <c r="E100" s="113"/>
      <c r="F100" s="113"/>
      <c r="G100" s="113"/>
      <c r="H100" s="113"/>
      <c r="I100" s="113"/>
      <c r="J100" s="113"/>
      <c r="K100" s="113"/>
      <c r="L100" s="115"/>
    </row>
    <row r="101" spans="2:12" s="112" customFormat="1" ht="12.75" x14ac:dyDescent="0.2">
      <c r="B101" s="113"/>
      <c r="C101" s="113"/>
      <c r="D101" s="114"/>
      <c r="E101" s="113"/>
      <c r="F101" s="113"/>
      <c r="G101" s="113"/>
      <c r="H101" s="113"/>
      <c r="I101" s="113"/>
      <c r="J101" s="113"/>
      <c r="K101" s="113"/>
      <c r="L101" s="115"/>
    </row>
    <row r="102" spans="2:12" s="112" customFormat="1" ht="12.75" x14ac:dyDescent="0.2">
      <c r="B102" s="113"/>
      <c r="C102" s="113"/>
      <c r="D102" s="114"/>
      <c r="E102" s="113"/>
      <c r="F102" s="113"/>
      <c r="G102" s="113"/>
      <c r="H102" s="113"/>
      <c r="I102" s="113"/>
      <c r="J102" s="113"/>
      <c r="K102" s="113"/>
      <c r="L102" s="115"/>
    </row>
    <row r="103" spans="2:12" s="112" customFormat="1" ht="12.75" x14ac:dyDescent="0.2">
      <c r="B103" s="113"/>
      <c r="C103" s="113"/>
      <c r="D103" s="114"/>
      <c r="E103" s="113"/>
      <c r="F103" s="113"/>
      <c r="G103" s="113"/>
      <c r="H103" s="113"/>
      <c r="I103" s="113"/>
      <c r="J103" s="113"/>
      <c r="K103" s="113"/>
      <c r="L103" s="115"/>
    </row>
    <row r="104" spans="2:12" s="112" customFormat="1" ht="12.75" x14ac:dyDescent="0.2">
      <c r="B104" s="113"/>
      <c r="C104" s="113"/>
      <c r="D104" s="114"/>
      <c r="E104" s="113"/>
      <c r="F104" s="113"/>
      <c r="G104" s="113"/>
      <c r="H104" s="113"/>
      <c r="I104" s="113"/>
      <c r="J104" s="113"/>
      <c r="K104" s="113"/>
      <c r="L104" s="115"/>
    </row>
    <row r="105" spans="2:12" s="112" customFormat="1" ht="12.75" x14ac:dyDescent="0.2">
      <c r="B105" s="113"/>
      <c r="C105" s="113"/>
      <c r="D105" s="114"/>
      <c r="E105" s="113"/>
      <c r="F105" s="113"/>
      <c r="G105" s="113"/>
      <c r="H105" s="113"/>
      <c r="I105" s="113"/>
      <c r="J105" s="113"/>
      <c r="K105" s="113"/>
      <c r="L105" s="115"/>
    </row>
    <row r="106" spans="2:12" s="112" customFormat="1" ht="12.75" x14ac:dyDescent="0.2">
      <c r="B106" s="113"/>
      <c r="C106" s="113"/>
      <c r="D106" s="114"/>
      <c r="E106" s="113"/>
      <c r="F106" s="113"/>
      <c r="G106" s="113"/>
      <c r="H106" s="113"/>
      <c r="I106" s="113"/>
      <c r="J106" s="113"/>
      <c r="K106" s="113"/>
      <c r="L106" s="115"/>
    </row>
    <row r="107" spans="2:12" s="112" customFormat="1" ht="12.75" x14ac:dyDescent="0.2">
      <c r="B107" s="113"/>
      <c r="C107" s="113"/>
      <c r="D107" s="114"/>
      <c r="E107" s="113"/>
      <c r="F107" s="113"/>
      <c r="G107" s="113"/>
      <c r="H107" s="113"/>
      <c r="I107" s="113"/>
      <c r="J107" s="113"/>
      <c r="K107" s="113"/>
      <c r="L107" s="115"/>
    </row>
    <row r="108" spans="2:12" s="112" customFormat="1" ht="12.75" x14ac:dyDescent="0.2">
      <c r="B108" s="113"/>
      <c r="C108" s="113"/>
      <c r="D108" s="114"/>
      <c r="E108" s="113"/>
      <c r="F108" s="113"/>
      <c r="G108" s="113"/>
      <c r="H108" s="113"/>
      <c r="I108" s="113"/>
      <c r="J108" s="113"/>
      <c r="K108" s="113"/>
      <c r="L108" s="115"/>
    </row>
    <row r="109" spans="2:12" s="112" customFormat="1" ht="12.75" x14ac:dyDescent="0.2">
      <c r="B109" s="113"/>
      <c r="C109" s="113"/>
      <c r="D109" s="114"/>
      <c r="E109" s="113"/>
      <c r="F109" s="113"/>
      <c r="G109" s="113"/>
      <c r="H109" s="113"/>
      <c r="I109" s="113"/>
      <c r="J109" s="113"/>
      <c r="K109" s="113"/>
      <c r="L109" s="115"/>
    </row>
    <row r="110" spans="2:12" s="112" customFormat="1" ht="12.75" x14ac:dyDescent="0.2">
      <c r="B110" s="113"/>
      <c r="C110" s="113"/>
      <c r="D110" s="114"/>
      <c r="E110" s="113"/>
      <c r="F110" s="113"/>
      <c r="G110" s="113"/>
      <c r="H110" s="113"/>
      <c r="I110" s="113"/>
      <c r="J110" s="113"/>
      <c r="K110" s="113"/>
      <c r="L110" s="115"/>
    </row>
    <row r="111" spans="2:12" s="112" customFormat="1" ht="12.75" x14ac:dyDescent="0.2">
      <c r="B111" s="113"/>
      <c r="C111" s="113"/>
      <c r="D111" s="114"/>
      <c r="E111" s="113"/>
      <c r="F111" s="113"/>
      <c r="G111" s="113"/>
      <c r="H111" s="113"/>
      <c r="I111" s="113"/>
      <c r="J111" s="113"/>
      <c r="K111" s="113"/>
      <c r="L111" s="115"/>
    </row>
    <row r="112" spans="2:12" s="112" customFormat="1" ht="12.75" x14ac:dyDescent="0.2">
      <c r="B112" s="113"/>
      <c r="C112" s="113"/>
      <c r="D112" s="114"/>
      <c r="E112" s="113"/>
      <c r="F112" s="113"/>
      <c r="G112" s="113"/>
      <c r="H112" s="113"/>
      <c r="I112" s="113"/>
      <c r="J112" s="113"/>
      <c r="K112" s="113"/>
      <c r="L112" s="115"/>
    </row>
    <row r="113" spans="2:12" s="112" customFormat="1" ht="12.75" x14ac:dyDescent="0.2">
      <c r="B113" s="113"/>
      <c r="C113" s="113"/>
      <c r="D113" s="114"/>
      <c r="E113" s="113"/>
      <c r="F113" s="113"/>
      <c r="G113" s="113"/>
      <c r="H113" s="113"/>
      <c r="I113" s="113"/>
      <c r="J113" s="113"/>
      <c r="K113" s="113"/>
      <c r="L113" s="115"/>
    </row>
    <row r="114" spans="2:12" s="112" customFormat="1" ht="12.75" x14ac:dyDescent="0.2">
      <c r="B114" s="113"/>
      <c r="C114" s="113"/>
      <c r="D114" s="114"/>
      <c r="E114" s="113"/>
      <c r="F114" s="113"/>
      <c r="G114" s="113"/>
      <c r="H114" s="113"/>
      <c r="I114" s="113"/>
      <c r="J114" s="113"/>
      <c r="K114" s="113"/>
      <c r="L114" s="115"/>
    </row>
    <row r="115" spans="2:12" s="112" customFormat="1" ht="12.75" x14ac:dyDescent="0.2">
      <c r="B115" s="113"/>
      <c r="C115" s="113"/>
      <c r="D115" s="114"/>
      <c r="E115" s="113"/>
      <c r="F115" s="113"/>
      <c r="G115" s="113"/>
      <c r="H115" s="113"/>
      <c r="I115" s="113"/>
      <c r="J115" s="113"/>
      <c r="K115" s="113"/>
      <c r="L115" s="115"/>
    </row>
    <row r="116" spans="2:12" s="112" customFormat="1" ht="12.75" x14ac:dyDescent="0.2">
      <c r="B116" s="113"/>
      <c r="C116" s="113"/>
      <c r="D116" s="114"/>
      <c r="E116" s="113"/>
      <c r="F116" s="113"/>
      <c r="G116" s="113"/>
      <c r="H116" s="113"/>
      <c r="I116" s="113"/>
      <c r="J116" s="113"/>
      <c r="K116" s="113"/>
      <c r="L116" s="115"/>
    </row>
    <row r="117" spans="2:12" s="112" customFormat="1" ht="12.75" x14ac:dyDescent="0.2">
      <c r="B117" s="113"/>
      <c r="C117" s="113"/>
      <c r="D117" s="114"/>
      <c r="E117" s="113"/>
      <c r="F117" s="113"/>
      <c r="G117" s="113"/>
      <c r="H117" s="113"/>
      <c r="I117" s="113"/>
      <c r="J117" s="113"/>
      <c r="K117" s="113"/>
      <c r="L117" s="115"/>
    </row>
    <row r="118" spans="2:12" s="112" customFormat="1" ht="12.75" x14ac:dyDescent="0.2">
      <c r="B118" s="113"/>
      <c r="C118" s="113"/>
      <c r="D118" s="114"/>
      <c r="E118" s="113"/>
      <c r="F118" s="113"/>
      <c r="G118" s="113"/>
      <c r="H118" s="113"/>
      <c r="I118" s="113"/>
      <c r="J118" s="113"/>
      <c r="K118" s="113"/>
      <c r="L118" s="115"/>
    </row>
    <row r="119" spans="2:12" s="112" customFormat="1" ht="12.75" x14ac:dyDescent="0.2">
      <c r="B119" s="113"/>
      <c r="C119" s="113"/>
      <c r="D119" s="114"/>
      <c r="E119" s="113"/>
      <c r="F119" s="113"/>
      <c r="G119" s="113"/>
      <c r="H119" s="113"/>
      <c r="I119" s="113"/>
      <c r="J119" s="113"/>
      <c r="K119" s="113"/>
      <c r="L119" s="115"/>
    </row>
    <row r="120" spans="2:12" s="112" customFormat="1" ht="12.75" x14ac:dyDescent="0.2">
      <c r="B120" s="113"/>
      <c r="C120" s="113"/>
      <c r="D120" s="114"/>
      <c r="E120" s="113"/>
      <c r="F120" s="113"/>
      <c r="G120" s="113"/>
      <c r="H120" s="113"/>
      <c r="I120" s="113"/>
      <c r="J120" s="113"/>
      <c r="K120" s="113"/>
      <c r="L120" s="115"/>
    </row>
    <row r="121" spans="2:12" s="112" customFormat="1" ht="12.75" x14ac:dyDescent="0.2">
      <c r="B121" s="113"/>
      <c r="C121" s="113"/>
      <c r="D121" s="114"/>
      <c r="E121" s="113"/>
      <c r="F121" s="113"/>
      <c r="G121" s="113"/>
      <c r="H121" s="113"/>
      <c r="I121" s="113"/>
      <c r="J121" s="113"/>
      <c r="K121" s="113"/>
      <c r="L121" s="115"/>
    </row>
    <row r="122" spans="2:12" s="112" customFormat="1" ht="12.75" x14ac:dyDescent="0.2">
      <c r="B122" s="113"/>
      <c r="C122" s="113"/>
      <c r="D122" s="114"/>
      <c r="E122" s="113"/>
      <c r="F122" s="113"/>
      <c r="G122" s="113"/>
      <c r="H122" s="113"/>
      <c r="I122" s="113"/>
      <c r="J122" s="113"/>
      <c r="K122" s="113"/>
      <c r="L122" s="115"/>
    </row>
    <row r="123" spans="2:12" s="112" customFormat="1" ht="12.75" x14ac:dyDescent="0.2">
      <c r="B123" s="113"/>
      <c r="C123" s="113"/>
      <c r="D123" s="114"/>
      <c r="E123" s="113"/>
      <c r="F123" s="113"/>
      <c r="G123" s="113"/>
      <c r="H123" s="113"/>
      <c r="I123" s="113"/>
      <c r="J123" s="113"/>
      <c r="K123" s="113"/>
      <c r="L123" s="115"/>
    </row>
    <row r="124" spans="2:12" s="112" customFormat="1" ht="12.75" x14ac:dyDescent="0.2">
      <c r="B124" s="113"/>
      <c r="C124" s="113"/>
      <c r="D124" s="114"/>
      <c r="E124" s="113"/>
      <c r="F124" s="113"/>
      <c r="G124" s="113"/>
      <c r="H124" s="113"/>
      <c r="I124" s="113"/>
      <c r="J124" s="113"/>
      <c r="K124" s="113"/>
      <c r="L124" s="115"/>
    </row>
    <row r="125" spans="2:12" s="112" customFormat="1" ht="12.75" x14ac:dyDescent="0.2">
      <c r="B125" s="113"/>
      <c r="C125" s="113"/>
      <c r="D125" s="114"/>
      <c r="E125" s="113"/>
      <c r="F125" s="113"/>
      <c r="G125" s="113"/>
      <c r="H125" s="113"/>
      <c r="I125" s="113"/>
      <c r="J125" s="113"/>
      <c r="K125" s="113"/>
      <c r="L125" s="115"/>
    </row>
    <row r="126" spans="2:12" s="112" customFormat="1" ht="12.75" x14ac:dyDescent="0.2">
      <c r="B126" s="113"/>
      <c r="C126" s="113"/>
      <c r="D126" s="114"/>
      <c r="E126" s="113"/>
      <c r="F126" s="113"/>
      <c r="G126" s="113"/>
      <c r="H126" s="113"/>
      <c r="I126" s="113"/>
      <c r="J126" s="113"/>
      <c r="K126" s="113"/>
      <c r="L126" s="115"/>
    </row>
    <row r="127" spans="2:12" s="112" customFormat="1" ht="12.75" x14ac:dyDescent="0.2">
      <c r="B127" s="113"/>
      <c r="C127" s="113"/>
      <c r="D127" s="114"/>
      <c r="E127" s="113"/>
      <c r="F127" s="113"/>
      <c r="G127" s="113"/>
      <c r="H127" s="113"/>
      <c r="I127" s="113"/>
      <c r="J127" s="113"/>
      <c r="K127" s="113"/>
      <c r="L127" s="115"/>
    </row>
    <row r="128" spans="2:12" s="112" customFormat="1" ht="12.75" x14ac:dyDescent="0.2">
      <c r="B128" s="113"/>
      <c r="C128" s="113"/>
      <c r="D128" s="114"/>
      <c r="E128" s="113"/>
      <c r="F128" s="113"/>
      <c r="G128" s="113"/>
      <c r="H128" s="113"/>
      <c r="I128" s="113"/>
      <c r="J128" s="113"/>
      <c r="K128" s="113"/>
      <c r="L128" s="115"/>
    </row>
    <row r="129" spans="2:12" s="112" customFormat="1" ht="12.75" x14ac:dyDescent="0.2">
      <c r="B129" s="113"/>
      <c r="C129" s="113"/>
      <c r="D129" s="114"/>
      <c r="E129" s="113"/>
      <c r="F129" s="113"/>
      <c r="G129" s="113"/>
      <c r="H129" s="113"/>
      <c r="I129" s="113"/>
      <c r="J129" s="113"/>
      <c r="K129" s="113"/>
      <c r="L129" s="115"/>
    </row>
    <row r="130" spans="2:12" s="112" customFormat="1" ht="12.75" x14ac:dyDescent="0.2">
      <c r="B130" s="113"/>
      <c r="C130" s="113"/>
      <c r="D130" s="114"/>
      <c r="E130" s="113"/>
      <c r="F130" s="113"/>
      <c r="G130" s="113"/>
      <c r="H130" s="113"/>
      <c r="I130" s="113"/>
      <c r="J130" s="113"/>
      <c r="K130" s="113"/>
      <c r="L130" s="115"/>
    </row>
    <row r="131" spans="2:12" s="112" customFormat="1" ht="12.75" x14ac:dyDescent="0.2">
      <c r="B131" s="113"/>
      <c r="C131" s="113"/>
      <c r="D131" s="114"/>
      <c r="E131" s="113"/>
      <c r="F131" s="113"/>
      <c r="G131" s="113"/>
      <c r="H131" s="113"/>
      <c r="I131" s="113"/>
      <c r="J131" s="113"/>
      <c r="K131" s="113"/>
      <c r="L131" s="115"/>
    </row>
    <row r="132" spans="2:12" s="112" customFormat="1" ht="12.75" x14ac:dyDescent="0.2">
      <c r="B132" s="113"/>
      <c r="C132" s="113"/>
      <c r="D132" s="114"/>
      <c r="E132" s="113"/>
      <c r="F132" s="113"/>
      <c r="G132" s="113"/>
      <c r="H132" s="113"/>
      <c r="I132" s="113"/>
      <c r="J132" s="113"/>
      <c r="K132" s="113"/>
      <c r="L132" s="115"/>
    </row>
    <row r="133" spans="2:12" s="112" customFormat="1" ht="12.75" x14ac:dyDescent="0.2">
      <c r="B133" s="113"/>
      <c r="C133" s="113"/>
      <c r="D133" s="114"/>
      <c r="E133" s="113"/>
      <c r="F133" s="113"/>
      <c r="G133" s="113"/>
      <c r="H133" s="113"/>
      <c r="I133" s="113"/>
      <c r="J133" s="113"/>
      <c r="K133" s="113"/>
      <c r="L133" s="115"/>
    </row>
    <row r="134" spans="2:12" s="112" customFormat="1" ht="12.75" x14ac:dyDescent="0.2">
      <c r="B134" s="113"/>
      <c r="C134" s="113"/>
      <c r="D134" s="114"/>
      <c r="E134" s="113"/>
      <c r="F134" s="113"/>
      <c r="G134" s="113"/>
      <c r="H134" s="113"/>
      <c r="I134" s="113"/>
      <c r="J134" s="113"/>
      <c r="K134" s="113"/>
      <c r="L134" s="115"/>
    </row>
    <row r="135" spans="2:12" s="112" customFormat="1" ht="12.75" x14ac:dyDescent="0.2">
      <c r="B135" s="113"/>
      <c r="C135" s="113"/>
      <c r="D135" s="114"/>
      <c r="E135" s="113"/>
      <c r="F135" s="113"/>
      <c r="G135" s="113"/>
      <c r="H135" s="113"/>
      <c r="I135" s="113"/>
      <c r="J135" s="113"/>
      <c r="K135" s="113"/>
      <c r="L135" s="115"/>
    </row>
    <row r="136" spans="2:12" s="112" customFormat="1" ht="12.75" x14ac:dyDescent="0.2">
      <c r="B136" s="113"/>
      <c r="C136" s="113"/>
      <c r="D136" s="114"/>
      <c r="E136" s="113"/>
      <c r="F136" s="113"/>
      <c r="G136" s="113"/>
      <c r="H136" s="113"/>
      <c r="I136" s="113"/>
      <c r="J136" s="113"/>
      <c r="K136" s="113"/>
      <c r="L136" s="115"/>
    </row>
    <row r="137" spans="2:12" s="112" customFormat="1" ht="12.75" x14ac:dyDescent="0.2">
      <c r="B137" s="113"/>
      <c r="C137" s="113"/>
      <c r="D137" s="114"/>
      <c r="E137" s="113"/>
      <c r="F137" s="113"/>
      <c r="G137" s="113"/>
      <c r="H137" s="113"/>
      <c r="I137" s="113"/>
      <c r="J137" s="113"/>
      <c r="K137" s="113"/>
      <c r="L137" s="115"/>
    </row>
    <row r="138" spans="2:12" s="112" customFormat="1" ht="12.75" x14ac:dyDescent="0.2">
      <c r="B138" s="113"/>
      <c r="C138" s="113"/>
      <c r="D138" s="114"/>
      <c r="E138" s="113"/>
      <c r="F138" s="113"/>
      <c r="G138" s="113"/>
      <c r="H138" s="113"/>
      <c r="I138" s="113"/>
      <c r="J138" s="113"/>
      <c r="K138" s="113"/>
      <c r="L138" s="115"/>
    </row>
    <row r="139" spans="2:12" s="112" customFormat="1" ht="12.75" x14ac:dyDescent="0.2">
      <c r="B139" s="113"/>
      <c r="C139" s="113"/>
      <c r="D139" s="114"/>
      <c r="E139" s="113"/>
      <c r="F139" s="113"/>
      <c r="G139" s="113"/>
      <c r="H139" s="113"/>
      <c r="I139" s="113"/>
      <c r="J139" s="113"/>
      <c r="K139" s="113"/>
      <c r="L139" s="115"/>
    </row>
    <row r="140" spans="2:12" s="112" customFormat="1" ht="12.75" x14ac:dyDescent="0.2">
      <c r="B140" s="113"/>
      <c r="C140" s="113"/>
      <c r="D140" s="114"/>
      <c r="E140" s="113"/>
      <c r="F140" s="113"/>
      <c r="G140" s="113"/>
      <c r="H140" s="113"/>
      <c r="I140" s="113"/>
      <c r="J140" s="113"/>
      <c r="K140" s="113"/>
      <c r="L140" s="115"/>
    </row>
    <row r="141" spans="2:12" s="112" customFormat="1" ht="12.75" x14ac:dyDescent="0.2">
      <c r="B141" s="113"/>
      <c r="C141" s="113"/>
      <c r="D141" s="114"/>
      <c r="E141" s="113"/>
      <c r="F141" s="113"/>
      <c r="G141" s="113"/>
      <c r="H141" s="113"/>
      <c r="I141" s="113"/>
      <c r="J141" s="113"/>
      <c r="K141" s="113"/>
      <c r="L141" s="115"/>
    </row>
    <row r="142" spans="2:12" s="112" customFormat="1" ht="12.75" x14ac:dyDescent="0.2">
      <c r="B142" s="113"/>
      <c r="C142" s="113"/>
      <c r="D142" s="114"/>
      <c r="E142" s="113"/>
      <c r="F142" s="113"/>
      <c r="G142" s="113"/>
      <c r="H142" s="113"/>
      <c r="I142" s="113"/>
      <c r="J142" s="113"/>
      <c r="K142" s="113"/>
      <c r="L142" s="115"/>
    </row>
    <row r="143" spans="2:12" s="112" customFormat="1" ht="12.75" x14ac:dyDescent="0.2">
      <c r="B143" s="113"/>
      <c r="C143" s="113"/>
      <c r="D143" s="114"/>
      <c r="E143" s="113"/>
      <c r="F143" s="113"/>
      <c r="G143" s="113"/>
      <c r="H143" s="113"/>
      <c r="I143" s="113"/>
      <c r="J143" s="113"/>
      <c r="K143" s="113"/>
      <c r="L143" s="115"/>
    </row>
    <row r="144" spans="2:12" s="112" customFormat="1" ht="12.75" x14ac:dyDescent="0.2">
      <c r="B144" s="113"/>
      <c r="C144" s="113"/>
      <c r="D144" s="114"/>
      <c r="E144" s="113"/>
      <c r="F144" s="113"/>
      <c r="G144" s="113"/>
      <c r="H144" s="113"/>
      <c r="I144" s="113"/>
      <c r="J144" s="113"/>
      <c r="K144" s="113"/>
      <c r="L144" s="115"/>
    </row>
    <row r="145" spans="2:12" s="112" customFormat="1" ht="12.75" x14ac:dyDescent="0.2">
      <c r="B145" s="113"/>
      <c r="C145" s="113"/>
      <c r="D145" s="114"/>
      <c r="E145" s="113"/>
      <c r="F145" s="113"/>
      <c r="G145" s="113"/>
      <c r="H145" s="113"/>
      <c r="I145" s="113"/>
      <c r="J145" s="113"/>
      <c r="K145" s="113"/>
      <c r="L145" s="115"/>
    </row>
    <row r="146" spans="2:12" s="112" customFormat="1" ht="12.75" x14ac:dyDescent="0.2">
      <c r="B146" s="113"/>
      <c r="C146" s="113"/>
      <c r="D146" s="114"/>
      <c r="E146" s="113"/>
      <c r="F146" s="113"/>
      <c r="G146" s="113"/>
      <c r="H146" s="113"/>
      <c r="I146" s="113"/>
      <c r="J146" s="113"/>
      <c r="K146" s="113"/>
      <c r="L146" s="115"/>
    </row>
    <row r="147" spans="2:12" s="112" customFormat="1" ht="12.75" x14ac:dyDescent="0.2">
      <c r="B147" s="113"/>
      <c r="C147" s="113"/>
      <c r="D147" s="114"/>
      <c r="E147" s="113"/>
      <c r="F147" s="113"/>
      <c r="G147" s="113"/>
      <c r="H147" s="113"/>
      <c r="I147" s="113"/>
      <c r="J147" s="113"/>
      <c r="K147" s="113"/>
      <c r="L147" s="115"/>
    </row>
    <row r="148" spans="2:12" s="112" customFormat="1" ht="12.75" x14ac:dyDescent="0.2">
      <c r="B148" s="113"/>
      <c r="C148" s="113"/>
      <c r="D148" s="114"/>
      <c r="E148" s="113"/>
      <c r="F148" s="113"/>
      <c r="G148" s="113"/>
      <c r="H148" s="113"/>
      <c r="I148" s="113"/>
      <c r="J148" s="113"/>
      <c r="K148" s="113"/>
      <c r="L148" s="115"/>
    </row>
    <row r="149" spans="2:12" s="112" customFormat="1" ht="12.75" x14ac:dyDescent="0.2">
      <c r="B149" s="113"/>
      <c r="C149" s="113"/>
      <c r="D149" s="114"/>
      <c r="E149" s="113"/>
      <c r="F149" s="113"/>
      <c r="G149" s="113"/>
      <c r="H149" s="113"/>
      <c r="I149" s="113"/>
      <c r="J149" s="113"/>
      <c r="K149" s="113"/>
      <c r="L149" s="115"/>
    </row>
    <row r="150" spans="2:12" s="112" customFormat="1" ht="12.75" x14ac:dyDescent="0.2">
      <c r="B150" s="113"/>
      <c r="C150" s="113"/>
      <c r="D150" s="114"/>
      <c r="E150" s="113"/>
      <c r="F150" s="113"/>
      <c r="G150" s="113"/>
      <c r="H150" s="113"/>
      <c r="I150" s="113"/>
      <c r="J150" s="113"/>
      <c r="K150" s="113"/>
      <c r="L150" s="115"/>
    </row>
    <row r="151" spans="2:12" s="112" customFormat="1" ht="12.75" x14ac:dyDescent="0.2">
      <c r="B151" s="113"/>
      <c r="C151" s="113"/>
      <c r="D151" s="114"/>
      <c r="E151" s="113"/>
      <c r="F151" s="113"/>
      <c r="G151" s="113"/>
      <c r="H151" s="113"/>
      <c r="I151" s="113"/>
      <c r="J151" s="113"/>
      <c r="K151" s="113"/>
      <c r="L151" s="115"/>
    </row>
    <row r="152" spans="2:12" s="112" customFormat="1" ht="12.75" x14ac:dyDescent="0.2">
      <c r="B152" s="113"/>
      <c r="C152" s="113"/>
      <c r="D152" s="114"/>
      <c r="E152" s="113"/>
      <c r="F152" s="113"/>
      <c r="G152" s="113"/>
      <c r="H152" s="113"/>
      <c r="I152" s="113"/>
      <c r="J152" s="113"/>
      <c r="K152" s="113"/>
      <c r="L152" s="115"/>
    </row>
    <row r="153" spans="2:12" s="112" customFormat="1" ht="12.75" x14ac:dyDescent="0.2">
      <c r="B153" s="113"/>
      <c r="C153" s="113"/>
      <c r="D153" s="114"/>
      <c r="E153" s="113"/>
      <c r="F153" s="113"/>
      <c r="G153" s="113"/>
      <c r="H153" s="113"/>
      <c r="I153" s="113"/>
      <c r="J153" s="113"/>
      <c r="K153" s="113"/>
      <c r="L153" s="115"/>
    </row>
    <row r="154" spans="2:12" s="112" customFormat="1" ht="12.75" x14ac:dyDescent="0.2">
      <c r="B154" s="113"/>
      <c r="C154" s="113"/>
      <c r="D154" s="114"/>
      <c r="E154" s="113"/>
      <c r="F154" s="113"/>
      <c r="G154" s="113"/>
      <c r="H154" s="113"/>
      <c r="I154" s="113"/>
      <c r="J154" s="113"/>
      <c r="K154" s="113"/>
      <c r="L154" s="115"/>
    </row>
    <row r="155" spans="2:12" s="112" customFormat="1" ht="12.75" x14ac:dyDescent="0.2">
      <c r="B155" s="113"/>
      <c r="C155" s="113"/>
      <c r="D155" s="114"/>
      <c r="E155" s="113"/>
      <c r="F155" s="113"/>
      <c r="G155" s="113"/>
      <c r="H155" s="113"/>
      <c r="I155" s="113"/>
      <c r="J155" s="113"/>
      <c r="K155" s="113"/>
      <c r="L155" s="115"/>
    </row>
    <row r="156" spans="2:12" s="112" customFormat="1" ht="12.75" x14ac:dyDescent="0.2">
      <c r="B156" s="113"/>
      <c r="C156" s="113"/>
      <c r="D156" s="114"/>
      <c r="E156" s="113"/>
      <c r="F156" s="113"/>
      <c r="G156" s="113"/>
      <c r="H156" s="113"/>
      <c r="I156" s="113"/>
      <c r="J156" s="113"/>
      <c r="K156" s="113"/>
      <c r="L156" s="115"/>
    </row>
    <row r="157" spans="2:12" s="112" customFormat="1" ht="12.75" x14ac:dyDescent="0.2">
      <c r="B157" s="113"/>
      <c r="C157" s="113"/>
      <c r="D157" s="114"/>
      <c r="E157" s="113"/>
      <c r="F157" s="113"/>
      <c r="G157" s="113"/>
      <c r="H157" s="113"/>
      <c r="I157" s="113"/>
      <c r="J157" s="113"/>
      <c r="K157" s="113"/>
      <c r="L157" s="115"/>
    </row>
    <row r="158" spans="2:12" s="112" customFormat="1" ht="12.75" x14ac:dyDescent="0.2">
      <c r="B158" s="113"/>
      <c r="C158" s="113"/>
      <c r="D158" s="114"/>
      <c r="E158" s="113"/>
      <c r="F158" s="113"/>
      <c r="G158" s="113"/>
      <c r="H158" s="113"/>
      <c r="I158" s="113"/>
      <c r="J158" s="113"/>
      <c r="K158" s="113"/>
      <c r="L158" s="115"/>
    </row>
    <row r="159" spans="2:12" s="112" customFormat="1" ht="12.75" x14ac:dyDescent="0.2">
      <c r="B159" s="113"/>
      <c r="C159" s="113"/>
      <c r="D159" s="114"/>
      <c r="E159" s="113"/>
      <c r="F159" s="113"/>
      <c r="G159" s="113"/>
      <c r="H159" s="113"/>
      <c r="I159" s="113"/>
      <c r="J159" s="113"/>
      <c r="K159" s="113"/>
      <c r="L159" s="115"/>
    </row>
    <row r="160" spans="2:12" s="112" customFormat="1" ht="12.75" x14ac:dyDescent="0.2">
      <c r="B160" s="113"/>
      <c r="C160" s="113"/>
      <c r="D160" s="114"/>
      <c r="E160" s="113"/>
      <c r="F160" s="113"/>
      <c r="G160" s="113"/>
      <c r="H160" s="113"/>
      <c r="I160" s="113"/>
      <c r="J160" s="113"/>
      <c r="K160" s="113"/>
      <c r="L160" s="115"/>
    </row>
    <row r="161" spans="2:12" s="112" customFormat="1" ht="12.75" x14ac:dyDescent="0.2">
      <c r="B161" s="113"/>
      <c r="C161" s="113"/>
      <c r="D161" s="114"/>
      <c r="E161" s="113"/>
      <c r="F161" s="113"/>
      <c r="G161" s="113"/>
      <c r="H161" s="113"/>
      <c r="I161" s="113"/>
      <c r="J161" s="113"/>
      <c r="K161" s="113"/>
      <c r="L161" s="115"/>
    </row>
    <row r="162" spans="2:12" s="112" customFormat="1" ht="12.75" x14ac:dyDescent="0.2">
      <c r="B162" s="113"/>
      <c r="C162" s="113"/>
      <c r="D162" s="114"/>
      <c r="E162" s="113"/>
      <c r="F162" s="113"/>
      <c r="G162" s="113"/>
      <c r="H162" s="113"/>
      <c r="I162" s="113"/>
      <c r="J162" s="113"/>
      <c r="K162" s="113"/>
      <c r="L162" s="115"/>
    </row>
    <row r="163" spans="2:12" s="112" customFormat="1" ht="12.75" x14ac:dyDescent="0.2">
      <c r="B163" s="113"/>
      <c r="C163" s="113"/>
      <c r="D163" s="114"/>
      <c r="E163" s="113"/>
      <c r="F163" s="113"/>
      <c r="G163" s="113"/>
      <c r="H163" s="113"/>
      <c r="I163" s="113"/>
      <c r="J163" s="113"/>
      <c r="K163" s="113"/>
      <c r="L163" s="115"/>
    </row>
    <row r="164" spans="2:12" s="112" customFormat="1" ht="12.75" x14ac:dyDescent="0.2">
      <c r="B164" s="113"/>
      <c r="C164" s="113"/>
      <c r="D164" s="114"/>
      <c r="E164" s="113"/>
      <c r="F164" s="113"/>
      <c r="G164" s="113"/>
      <c r="H164" s="113"/>
      <c r="I164" s="113"/>
      <c r="J164" s="113"/>
      <c r="K164" s="113"/>
      <c r="L164" s="115"/>
    </row>
    <row r="165" spans="2:12" s="112" customFormat="1" ht="12.75" x14ac:dyDescent="0.2">
      <c r="B165" s="113"/>
      <c r="C165" s="113"/>
      <c r="D165" s="114"/>
      <c r="E165" s="113"/>
      <c r="F165" s="113"/>
      <c r="G165" s="113"/>
      <c r="H165" s="113"/>
      <c r="I165" s="113"/>
      <c r="J165" s="113"/>
      <c r="K165" s="113"/>
      <c r="L165" s="115"/>
    </row>
    <row r="166" spans="2:12" s="112" customFormat="1" ht="12.75" x14ac:dyDescent="0.2">
      <c r="B166" s="113"/>
      <c r="C166" s="113"/>
      <c r="D166" s="114"/>
      <c r="E166" s="113"/>
      <c r="F166" s="113"/>
      <c r="G166" s="113"/>
      <c r="H166" s="113"/>
      <c r="I166" s="113"/>
      <c r="J166" s="113"/>
      <c r="K166" s="113"/>
      <c r="L166" s="115"/>
    </row>
    <row r="167" spans="2:12" s="112" customFormat="1" ht="12.75" x14ac:dyDescent="0.2">
      <c r="B167" s="113"/>
      <c r="C167" s="113"/>
      <c r="D167" s="114"/>
      <c r="E167" s="113"/>
      <c r="F167" s="113"/>
      <c r="G167" s="113"/>
      <c r="H167" s="113"/>
      <c r="I167" s="113"/>
      <c r="J167" s="113"/>
      <c r="K167" s="113"/>
      <c r="L167" s="115"/>
    </row>
    <row r="168" spans="2:12" s="112" customFormat="1" ht="12.75" x14ac:dyDescent="0.2">
      <c r="B168" s="113"/>
      <c r="C168" s="113"/>
      <c r="D168" s="114"/>
      <c r="E168" s="113"/>
      <c r="F168" s="113"/>
      <c r="G168" s="113"/>
      <c r="H168" s="113"/>
      <c r="I168" s="113"/>
      <c r="J168" s="113"/>
      <c r="K168" s="113"/>
      <c r="L168" s="115"/>
    </row>
    <row r="169" spans="2:12" s="112" customFormat="1" ht="12.75" x14ac:dyDescent="0.2">
      <c r="B169" s="113"/>
      <c r="C169" s="113"/>
      <c r="D169" s="114"/>
      <c r="E169" s="113"/>
      <c r="F169" s="113"/>
      <c r="G169" s="113"/>
      <c r="H169" s="113"/>
      <c r="I169" s="113"/>
      <c r="J169" s="113"/>
      <c r="K169" s="113"/>
      <c r="L169" s="115"/>
    </row>
    <row r="170" spans="2:12" s="112" customFormat="1" ht="12.75" x14ac:dyDescent="0.2">
      <c r="B170" s="113"/>
      <c r="C170" s="113"/>
      <c r="D170" s="114"/>
      <c r="E170" s="113"/>
      <c r="F170" s="113"/>
      <c r="G170" s="113"/>
      <c r="H170" s="113"/>
      <c r="I170" s="113"/>
      <c r="J170" s="113"/>
      <c r="K170" s="113"/>
      <c r="L170" s="115"/>
    </row>
    <row r="171" spans="2:12" s="112" customFormat="1" ht="12.75" x14ac:dyDescent="0.2">
      <c r="B171" s="113"/>
      <c r="C171" s="113"/>
      <c r="D171" s="114"/>
      <c r="E171" s="113"/>
      <c r="F171" s="113"/>
      <c r="G171" s="113"/>
      <c r="H171" s="113"/>
      <c r="I171" s="113"/>
      <c r="J171" s="113"/>
      <c r="K171" s="113"/>
      <c r="L171" s="115"/>
    </row>
    <row r="172" spans="2:12" s="112" customFormat="1" ht="12.75" x14ac:dyDescent="0.2">
      <c r="B172" s="113"/>
      <c r="C172" s="113"/>
      <c r="D172" s="114"/>
      <c r="E172" s="113"/>
      <c r="F172" s="113"/>
      <c r="G172" s="113"/>
      <c r="H172" s="113"/>
      <c r="I172" s="113"/>
      <c r="J172" s="113"/>
      <c r="K172" s="113"/>
      <c r="L172" s="115"/>
    </row>
    <row r="173" spans="2:12" s="112" customFormat="1" ht="12.75" x14ac:dyDescent="0.2">
      <c r="B173" s="113"/>
      <c r="C173" s="113"/>
      <c r="D173" s="114"/>
      <c r="E173" s="113"/>
      <c r="F173" s="113"/>
      <c r="G173" s="113"/>
      <c r="H173" s="113"/>
      <c r="I173" s="113"/>
      <c r="J173" s="113"/>
      <c r="K173" s="113"/>
      <c r="L173" s="115"/>
    </row>
    <row r="174" spans="2:12" s="112" customFormat="1" ht="12.75" x14ac:dyDescent="0.2">
      <c r="B174" s="113"/>
      <c r="C174" s="113"/>
      <c r="D174" s="114"/>
      <c r="E174" s="113"/>
      <c r="F174" s="113"/>
      <c r="G174" s="113"/>
      <c r="H174" s="113"/>
      <c r="I174" s="113"/>
      <c r="J174" s="113"/>
      <c r="K174" s="113"/>
      <c r="L174" s="115"/>
    </row>
    <row r="175" spans="2:12" s="112" customFormat="1" ht="12.75" x14ac:dyDescent="0.2">
      <c r="B175" s="113"/>
      <c r="C175" s="113"/>
      <c r="D175" s="114"/>
      <c r="E175" s="113"/>
      <c r="F175" s="113"/>
      <c r="G175" s="113"/>
      <c r="H175" s="113"/>
      <c r="I175" s="113"/>
      <c r="J175" s="113"/>
      <c r="K175" s="113"/>
      <c r="L175" s="115"/>
    </row>
    <row r="176" spans="2:12" s="112" customFormat="1" ht="12.75" x14ac:dyDescent="0.2">
      <c r="B176" s="113"/>
      <c r="C176" s="113"/>
      <c r="D176" s="114"/>
      <c r="E176" s="113"/>
      <c r="F176" s="113"/>
      <c r="G176" s="113"/>
      <c r="H176" s="113"/>
      <c r="I176" s="113"/>
      <c r="J176" s="113"/>
      <c r="K176" s="113"/>
      <c r="L176" s="115"/>
    </row>
    <row r="177" spans="2:12" s="112" customFormat="1" ht="12.75" x14ac:dyDescent="0.2">
      <c r="B177" s="113"/>
      <c r="C177" s="113"/>
      <c r="D177" s="114"/>
      <c r="E177" s="113"/>
      <c r="F177" s="113"/>
      <c r="G177" s="113"/>
      <c r="H177" s="113"/>
      <c r="I177" s="113"/>
      <c r="J177" s="113"/>
      <c r="K177" s="113"/>
      <c r="L177" s="115"/>
    </row>
    <row r="178" spans="2:12" s="112" customFormat="1" ht="12.75" x14ac:dyDescent="0.2">
      <c r="B178" s="113"/>
      <c r="C178" s="113"/>
      <c r="D178" s="114"/>
      <c r="E178" s="113"/>
      <c r="F178" s="113"/>
      <c r="G178" s="113"/>
      <c r="H178" s="113"/>
      <c r="I178" s="113"/>
      <c r="J178" s="113"/>
      <c r="K178" s="113"/>
      <c r="L178" s="115"/>
    </row>
    <row r="179" spans="2:12" s="112" customFormat="1" ht="12.75" x14ac:dyDescent="0.2">
      <c r="B179" s="113"/>
      <c r="C179" s="113"/>
      <c r="D179" s="114"/>
      <c r="E179" s="113"/>
      <c r="F179" s="113"/>
      <c r="G179" s="113"/>
      <c r="H179" s="113"/>
      <c r="I179" s="113"/>
      <c r="J179" s="113"/>
      <c r="K179" s="113"/>
      <c r="L179" s="115"/>
    </row>
    <row r="180" spans="2:12" s="112" customFormat="1" ht="12.75" x14ac:dyDescent="0.2">
      <c r="B180" s="113"/>
      <c r="C180" s="113"/>
      <c r="D180" s="114"/>
      <c r="E180" s="113"/>
      <c r="F180" s="113"/>
      <c r="G180" s="113"/>
      <c r="H180" s="113"/>
      <c r="I180" s="113"/>
      <c r="J180" s="113"/>
      <c r="K180" s="113"/>
      <c r="L180" s="115"/>
    </row>
    <row r="181" spans="2:12" s="112" customFormat="1" ht="12.75" x14ac:dyDescent="0.2">
      <c r="B181" s="113"/>
      <c r="C181" s="113"/>
      <c r="D181" s="114"/>
      <c r="E181" s="113"/>
      <c r="F181" s="113"/>
      <c r="G181" s="113"/>
      <c r="H181" s="113"/>
      <c r="I181" s="113"/>
      <c r="J181" s="113"/>
      <c r="K181" s="113"/>
      <c r="L181" s="115"/>
    </row>
    <row r="182" spans="2:12" s="112" customFormat="1" ht="12.75" x14ac:dyDescent="0.2">
      <c r="B182" s="113"/>
      <c r="C182" s="113"/>
      <c r="D182" s="114"/>
      <c r="E182" s="113"/>
      <c r="F182" s="113"/>
      <c r="G182" s="113"/>
      <c r="H182" s="113"/>
      <c r="I182" s="113"/>
      <c r="J182" s="113"/>
      <c r="K182" s="113"/>
      <c r="L182" s="115"/>
    </row>
    <row r="183" spans="2:12" s="112" customFormat="1" ht="12.75" x14ac:dyDescent="0.2">
      <c r="B183" s="113"/>
      <c r="C183" s="113"/>
      <c r="D183" s="114"/>
      <c r="E183" s="113"/>
      <c r="F183" s="113"/>
      <c r="G183" s="113"/>
      <c r="H183" s="113"/>
      <c r="I183" s="113"/>
      <c r="J183" s="113"/>
      <c r="K183" s="113"/>
      <c r="L183" s="115"/>
    </row>
    <row r="184" spans="2:12" s="112" customFormat="1" ht="12.75" x14ac:dyDescent="0.2">
      <c r="B184" s="113"/>
      <c r="C184" s="113"/>
      <c r="D184" s="114"/>
      <c r="E184" s="113"/>
      <c r="F184" s="113"/>
      <c r="G184" s="113"/>
      <c r="H184" s="113"/>
      <c r="I184" s="113"/>
      <c r="J184" s="113"/>
      <c r="K184" s="113"/>
      <c r="L184" s="115"/>
    </row>
    <row r="185" spans="2:12" s="112" customFormat="1" ht="12.75" x14ac:dyDescent="0.2">
      <c r="B185" s="113"/>
      <c r="C185" s="113"/>
      <c r="D185" s="114"/>
      <c r="E185" s="113"/>
      <c r="F185" s="113"/>
      <c r="G185" s="113"/>
      <c r="H185" s="113"/>
      <c r="I185" s="113"/>
      <c r="J185" s="113"/>
      <c r="K185" s="113"/>
      <c r="L185" s="115"/>
    </row>
    <row r="186" spans="2:12" s="112" customFormat="1" ht="12.75" x14ac:dyDescent="0.2">
      <c r="B186" s="113"/>
      <c r="C186" s="113"/>
      <c r="D186" s="114"/>
      <c r="E186" s="113"/>
      <c r="F186" s="113"/>
      <c r="G186" s="113"/>
      <c r="H186" s="113"/>
      <c r="I186" s="113"/>
      <c r="J186" s="113"/>
      <c r="K186" s="113"/>
      <c r="L186" s="115"/>
    </row>
    <row r="187" spans="2:12" s="112" customFormat="1" ht="12.75" x14ac:dyDescent="0.2">
      <c r="B187" s="113"/>
      <c r="C187" s="113"/>
      <c r="D187" s="114"/>
      <c r="E187" s="113"/>
      <c r="F187" s="113"/>
      <c r="G187" s="113"/>
      <c r="H187" s="113"/>
      <c r="I187" s="113"/>
      <c r="J187" s="113"/>
      <c r="K187" s="113"/>
      <c r="L187" s="115"/>
    </row>
    <row r="188" spans="2:12" s="112" customFormat="1" ht="12.75" x14ac:dyDescent="0.2">
      <c r="B188" s="113"/>
      <c r="C188" s="113"/>
      <c r="D188" s="114"/>
      <c r="E188" s="113"/>
      <c r="F188" s="113"/>
      <c r="G188" s="113"/>
      <c r="H188" s="113"/>
      <c r="I188" s="113"/>
      <c r="J188" s="113"/>
      <c r="K188" s="113"/>
      <c r="L188" s="115"/>
    </row>
    <row r="189" spans="2:12" s="112" customFormat="1" ht="12.75" x14ac:dyDescent="0.2">
      <c r="B189" s="113"/>
      <c r="C189" s="113"/>
      <c r="D189" s="114"/>
      <c r="E189" s="113"/>
      <c r="F189" s="113"/>
      <c r="G189" s="113"/>
      <c r="H189" s="113"/>
      <c r="I189" s="113"/>
      <c r="J189" s="113"/>
      <c r="K189" s="113"/>
      <c r="L189" s="115"/>
    </row>
    <row r="190" spans="2:12" s="112" customFormat="1" ht="12.75" x14ac:dyDescent="0.2">
      <c r="B190" s="113"/>
      <c r="C190" s="113"/>
      <c r="D190" s="114"/>
      <c r="E190" s="113"/>
      <c r="F190" s="113"/>
      <c r="G190" s="113"/>
      <c r="H190" s="113"/>
      <c r="I190" s="113"/>
      <c r="J190" s="113"/>
      <c r="K190" s="113"/>
      <c r="L190" s="115"/>
    </row>
    <row r="191" spans="2:12" s="112" customFormat="1" ht="12.75" x14ac:dyDescent="0.2">
      <c r="B191" s="113"/>
      <c r="C191" s="113"/>
      <c r="D191" s="114"/>
      <c r="E191" s="113"/>
      <c r="F191" s="113"/>
      <c r="G191" s="113"/>
      <c r="H191" s="113"/>
      <c r="I191" s="113"/>
      <c r="J191" s="113"/>
      <c r="K191" s="113"/>
      <c r="L191" s="115"/>
    </row>
    <row r="192" spans="2:12" s="112" customFormat="1" ht="12.75" x14ac:dyDescent="0.2">
      <c r="B192" s="113"/>
      <c r="C192" s="113"/>
      <c r="D192" s="114"/>
      <c r="E192" s="113"/>
      <c r="F192" s="113"/>
      <c r="G192" s="113"/>
      <c r="H192" s="113"/>
      <c r="I192" s="113"/>
      <c r="J192" s="113"/>
      <c r="K192" s="113"/>
      <c r="L192" s="115"/>
    </row>
    <row r="193" spans="2:12" s="112" customFormat="1" ht="12.75" x14ac:dyDescent="0.2">
      <c r="B193" s="113"/>
      <c r="C193" s="113"/>
      <c r="D193" s="114"/>
      <c r="E193" s="113"/>
      <c r="F193" s="113"/>
      <c r="G193" s="113"/>
      <c r="H193" s="113"/>
      <c r="I193" s="113"/>
      <c r="J193" s="113"/>
      <c r="K193" s="113"/>
      <c r="L193" s="115"/>
    </row>
    <row r="194" spans="2:12" s="112" customFormat="1" ht="12.75" x14ac:dyDescent="0.2">
      <c r="B194" s="113"/>
      <c r="C194" s="113"/>
      <c r="D194" s="114"/>
      <c r="E194" s="113"/>
      <c r="F194" s="113"/>
      <c r="G194" s="113"/>
      <c r="H194" s="113"/>
      <c r="I194" s="113"/>
      <c r="J194" s="113"/>
      <c r="K194" s="113"/>
      <c r="L194" s="115"/>
    </row>
    <row r="195" spans="2:12" s="112" customFormat="1" ht="12.75" x14ac:dyDescent="0.2">
      <c r="B195" s="113"/>
      <c r="C195" s="113"/>
      <c r="D195" s="114"/>
      <c r="E195" s="113"/>
      <c r="F195" s="113"/>
      <c r="G195" s="113"/>
      <c r="H195" s="113"/>
      <c r="I195" s="113"/>
      <c r="J195" s="113"/>
      <c r="K195" s="113"/>
      <c r="L195" s="115"/>
    </row>
    <row r="196" spans="2:12" s="112" customFormat="1" ht="12.75" x14ac:dyDescent="0.2">
      <c r="B196" s="113"/>
      <c r="C196" s="113"/>
      <c r="D196" s="114"/>
      <c r="E196" s="113"/>
      <c r="F196" s="113"/>
      <c r="G196" s="113"/>
      <c r="H196" s="113"/>
      <c r="I196" s="113"/>
      <c r="J196" s="113"/>
      <c r="K196" s="113"/>
      <c r="L196" s="115"/>
    </row>
    <row r="197" spans="2:12" s="112" customFormat="1" ht="12.75" x14ac:dyDescent="0.2">
      <c r="B197" s="113"/>
      <c r="C197" s="113"/>
      <c r="D197" s="114"/>
      <c r="E197" s="113"/>
      <c r="F197" s="113"/>
      <c r="G197" s="113"/>
      <c r="H197" s="113"/>
      <c r="I197" s="113"/>
      <c r="J197" s="113"/>
      <c r="K197" s="113"/>
      <c r="L197" s="115"/>
    </row>
    <row r="198" spans="2:12" s="112" customFormat="1" ht="12.75" x14ac:dyDescent="0.2">
      <c r="B198" s="113"/>
      <c r="C198" s="113"/>
      <c r="D198" s="114"/>
      <c r="E198" s="113"/>
      <c r="F198" s="113"/>
      <c r="G198" s="113"/>
      <c r="H198" s="113"/>
      <c r="I198" s="113"/>
      <c r="J198" s="113"/>
      <c r="K198" s="113"/>
      <c r="L198" s="115"/>
    </row>
    <row r="199" spans="2:12" s="112" customFormat="1" ht="12.75" x14ac:dyDescent="0.2">
      <c r="B199" s="113"/>
      <c r="C199" s="113"/>
      <c r="D199" s="114"/>
      <c r="E199" s="113"/>
      <c r="F199" s="113"/>
      <c r="G199" s="113"/>
      <c r="H199" s="113"/>
      <c r="I199" s="113"/>
      <c r="J199" s="113"/>
      <c r="K199" s="113"/>
      <c r="L199" s="115"/>
    </row>
    <row r="200" spans="2:12" s="112" customFormat="1" ht="12.75" x14ac:dyDescent="0.2">
      <c r="B200" s="113"/>
      <c r="C200" s="113"/>
      <c r="D200" s="114"/>
      <c r="E200" s="113"/>
      <c r="F200" s="113"/>
      <c r="G200" s="113"/>
      <c r="H200" s="113"/>
      <c r="I200" s="113"/>
      <c r="J200" s="113"/>
      <c r="K200" s="113"/>
      <c r="L200" s="115"/>
    </row>
    <row r="201" spans="2:12" s="112" customFormat="1" ht="12.75" x14ac:dyDescent="0.2">
      <c r="B201" s="113"/>
      <c r="C201" s="113"/>
      <c r="D201" s="114"/>
      <c r="E201" s="113"/>
      <c r="F201" s="113"/>
      <c r="G201" s="113"/>
      <c r="H201" s="113"/>
      <c r="I201" s="113"/>
      <c r="J201" s="113"/>
      <c r="K201" s="113"/>
      <c r="L201" s="115"/>
    </row>
    <row r="202" spans="2:12" s="112" customFormat="1" ht="12.75" x14ac:dyDescent="0.2">
      <c r="B202" s="113"/>
      <c r="C202" s="113"/>
      <c r="D202" s="114"/>
      <c r="E202" s="113"/>
      <c r="F202" s="113"/>
      <c r="G202" s="113"/>
      <c r="H202" s="113"/>
      <c r="I202" s="113"/>
      <c r="J202" s="113"/>
      <c r="K202" s="113"/>
      <c r="L202" s="115"/>
    </row>
    <row r="203" spans="2:12" s="112" customFormat="1" ht="12.75" x14ac:dyDescent="0.2">
      <c r="B203" s="113"/>
      <c r="C203" s="113"/>
      <c r="D203" s="114"/>
      <c r="E203" s="113"/>
      <c r="F203" s="113"/>
      <c r="G203" s="113"/>
      <c r="H203" s="113"/>
      <c r="I203" s="113"/>
      <c r="J203" s="113"/>
      <c r="K203" s="113"/>
      <c r="L203" s="115"/>
    </row>
    <row r="204" spans="2:12" s="112" customFormat="1" ht="12.75" x14ac:dyDescent="0.2">
      <c r="B204" s="113"/>
      <c r="C204" s="113"/>
      <c r="D204" s="114"/>
      <c r="E204" s="113"/>
      <c r="F204" s="113"/>
      <c r="G204" s="113"/>
      <c r="H204" s="113"/>
      <c r="I204" s="113"/>
      <c r="J204" s="113"/>
      <c r="K204" s="113"/>
      <c r="L204" s="115"/>
    </row>
    <row r="205" spans="2:12" s="112" customFormat="1" ht="12.75" x14ac:dyDescent="0.2">
      <c r="B205" s="113"/>
      <c r="C205" s="113"/>
      <c r="D205" s="114"/>
      <c r="E205" s="113"/>
      <c r="F205" s="113"/>
      <c r="G205" s="113"/>
      <c r="H205" s="113"/>
      <c r="I205" s="113"/>
      <c r="J205" s="113"/>
      <c r="K205" s="113"/>
      <c r="L205" s="115"/>
    </row>
    <row r="206" spans="2:12" s="112" customFormat="1" ht="12.75" x14ac:dyDescent="0.2">
      <c r="B206" s="113"/>
      <c r="C206" s="113"/>
      <c r="D206" s="114"/>
      <c r="E206" s="113"/>
      <c r="F206" s="113"/>
      <c r="G206" s="113"/>
      <c r="H206" s="113"/>
      <c r="I206" s="113"/>
      <c r="J206" s="113"/>
      <c r="K206" s="113"/>
      <c r="L206" s="115"/>
    </row>
    <row r="207" spans="2:12" s="112" customFormat="1" ht="12.75" x14ac:dyDescent="0.2">
      <c r="B207" s="113"/>
      <c r="C207" s="113"/>
      <c r="D207" s="114"/>
      <c r="E207" s="113"/>
      <c r="F207" s="113"/>
      <c r="G207" s="113"/>
      <c r="H207" s="113"/>
      <c r="I207" s="113"/>
      <c r="J207" s="113"/>
      <c r="K207" s="113"/>
      <c r="L207" s="115"/>
    </row>
    <row r="208" spans="2:12" s="112" customFormat="1" ht="12.75" x14ac:dyDescent="0.2">
      <c r="B208" s="113"/>
      <c r="C208" s="113"/>
      <c r="D208" s="114"/>
      <c r="E208" s="113"/>
      <c r="F208" s="113"/>
      <c r="G208" s="113"/>
      <c r="H208" s="113"/>
      <c r="I208" s="113"/>
      <c r="J208" s="113"/>
      <c r="K208" s="113"/>
      <c r="L208" s="115"/>
    </row>
    <row r="209" spans="2:12" s="112" customFormat="1" ht="12.75" x14ac:dyDescent="0.2">
      <c r="B209" s="113"/>
      <c r="C209" s="113"/>
      <c r="D209" s="114"/>
      <c r="E209" s="113"/>
      <c r="F209" s="113"/>
      <c r="G209" s="113"/>
      <c r="H209" s="113"/>
      <c r="I209" s="113"/>
      <c r="J209" s="113"/>
      <c r="K209" s="113"/>
      <c r="L209" s="115"/>
    </row>
    <row r="210" spans="2:12" s="112" customFormat="1" ht="12.75" x14ac:dyDescent="0.2">
      <c r="B210" s="113"/>
      <c r="C210" s="113"/>
      <c r="D210" s="114"/>
      <c r="E210" s="113"/>
      <c r="F210" s="113"/>
      <c r="G210" s="113"/>
      <c r="H210" s="113"/>
      <c r="I210" s="113"/>
      <c r="J210" s="113"/>
      <c r="K210" s="113"/>
      <c r="L210" s="115"/>
    </row>
    <row r="211" spans="2:12" s="112" customFormat="1" ht="12.75" x14ac:dyDescent="0.2">
      <c r="B211" s="113"/>
      <c r="C211" s="113"/>
      <c r="D211" s="114"/>
      <c r="E211" s="113"/>
      <c r="F211" s="113"/>
      <c r="G211" s="113"/>
      <c r="H211" s="113"/>
      <c r="I211" s="113"/>
      <c r="J211" s="113"/>
      <c r="K211" s="113"/>
      <c r="L211" s="115"/>
    </row>
    <row r="212" spans="2:12" s="112" customFormat="1" ht="12.75" x14ac:dyDescent="0.2">
      <c r="B212" s="113"/>
      <c r="C212" s="113"/>
      <c r="D212" s="114"/>
      <c r="E212" s="113"/>
      <c r="F212" s="113"/>
      <c r="G212" s="113"/>
      <c r="H212" s="113"/>
      <c r="I212" s="113"/>
      <c r="J212" s="113"/>
      <c r="K212" s="113"/>
      <c r="L212" s="115"/>
    </row>
    <row r="213" spans="2:12" s="112" customFormat="1" ht="12.75" x14ac:dyDescent="0.2">
      <c r="B213" s="113"/>
      <c r="C213" s="113"/>
      <c r="D213" s="114"/>
      <c r="E213" s="113"/>
      <c r="F213" s="113"/>
      <c r="G213" s="113"/>
      <c r="H213" s="113"/>
      <c r="I213" s="113"/>
      <c r="J213" s="113"/>
      <c r="K213" s="113"/>
      <c r="L213" s="115"/>
    </row>
    <row r="214" spans="2:12" s="112" customFormat="1" ht="12.75" x14ac:dyDescent="0.2">
      <c r="B214" s="113"/>
      <c r="C214" s="113"/>
      <c r="D214" s="114"/>
      <c r="E214" s="113"/>
      <c r="F214" s="113"/>
      <c r="G214" s="113"/>
      <c r="H214" s="113"/>
      <c r="I214" s="113"/>
      <c r="J214" s="113"/>
      <c r="K214" s="113"/>
      <c r="L214" s="115"/>
    </row>
    <row r="215" spans="2:12" s="112" customFormat="1" ht="12.75" x14ac:dyDescent="0.2">
      <c r="B215" s="113"/>
      <c r="C215" s="113"/>
      <c r="D215" s="114"/>
      <c r="E215" s="113"/>
      <c r="F215" s="113"/>
      <c r="G215" s="113"/>
      <c r="H215" s="113"/>
      <c r="I215" s="113"/>
      <c r="J215" s="113"/>
      <c r="K215" s="113"/>
      <c r="L215" s="115"/>
    </row>
    <row r="216" spans="2:12" s="112" customFormat="1" ht="12.75" x14ac:dyDescent="0.2">
      <c r="B216" s="113"/>
      <c r="C216" s="113"/>
      <c r="D216" s="114"/>
      <c r="E216" s="113"/>
      <c r="F216" s="113"/>
      <c r="G216" s="113"/>
      <c r="H216" s="113"/>
      <c r="I216" s="113"/>
      <c r="J216" s="113"/>
      <c r="K216" s="113"/>
      <c r="L216" s="115"/>
    </row>
    <row r="217" spans="2:12" s="112" customFormat="1" ht="12.75" x14ac:dyDescent="0.2">
      <c r="B217" s="113"/>
      <c r="C217" s="113"/>
      <c r="D217" s="114"/>
      <c r="E217" s="113"/>
      <c r="F217" s="113"/>
      <c r="G217" s="113"/>
      <c r="H217" s="113"/>
      <c r="I217" s="113"/>
      <c r="J217" s="113"/>
      <c r="K217" s="113"/>
      <c r="L217" s="115"/>
    </row>
    <row r="218" spans="2:12" s="112" customFormat="1" ht="12.75" x14ac:dyDescent="0.2">
      <c r="B218" s="113"/>
      <c r="C218" s="113"/>
      <c r="D218" s="114"/>
      <c r="E218" s="113"/>
      <c r="F218" s="113"/>
      <c r="G218" s="113"/>
      <c r="H218" s="113"/>
      <c r="I218" s="113"/>
      <c r="J218" s="113"/>
      <c r="K218" s="113"/>
      <c r="L218" s="115"/>
    </row>
    <row r="219" spans="2:12" s="112" customFormat="1" ht="12.75" x14ac:dyDescent="0.2">
      <c r="B219" s="113"/>
      <c r="C219" s="113"/>
      <c r="D219" s="114"/>
      <c r="E219" s="113"/>
      <c r="F219" s="113"/>
      <c r="G219" s="113"/>
      <c r="H219" s="113"/>
      <c r="I219" s="113"/>
      <c r="J219" s="113"/>
      <c r="K219" s="113"/>
      <c r="L219" s="115"/>
    </row>
    <row r="220" spans="2:12" s="112" customFormat="1" ht="12.75" x14ac:dyDescent="0.2">
      <c r="B220" s="113"/>
      <c r="C220" s="113"/>
      <c r="D220" s="114"/>
      <c r="E220" s="113"/>
      <c r="F220" s="113"/>
      <c r="G220" s="113"/>
      <c r="H220" s="113"/>
      <c r="I220" s="113"/>
      <c r="J220" s="113"/>
      <c r="K220" s="113"/>
      <c r="L220" s="115"/>
    </row>
    <row r="221" spans="2:12" s="112" customFormat="1" ht="12.75" x14ac:dyDescent="0.2">
      <c r="B221" s="113"/>
      <c r="C221" s="113"/>
      <c r="D221" s="114"/>
      <c r="E221" s="113"/>
      <c r="F221" s="113"/>
      <c r="G221" s="113"/>
      <c r="H221" s="113"/>
      <c r="I221" s="113"/>
      <c r="J221" s="113"/>
      <c r="K221" s="113"/>
      <c r="L221" s="115"/>
    </row>
    <row r="222" spans="2:12" s="112" customFormat="1" ht="12.75" x14ac:dyDescent="0.2">
      <c r="B222" s="113"/>
      <c r="C222" s="113"/>
      <c r="D222" s="114"/>
      <c r="E222" s="113"/>
      <c r="F222" s="113"/>
      <c r="G222" s="113"/>
      <c r="H222" s="113"/>
      <c r="I222" s="113"/>
      <c r="J222" s="113"/>
      <c r="K222" s="113"/>
      <c r="L222" s="115"/>
    </row>
    <row r="223" spans="2:12" s="112" customFormat="1" ht="12.75" x14ac:dyDescent="0.2">
      <c r="B223" s="113"/>
      <c r="C223" s="113"/>
      <c r="D223" s="114"/>
      <c r="E223" s="113"/>
      <c r="F223" s="113"/>
      <c r="G223" s="113"/>
      <c r="H223" s="113"/>
      <c r="I223" s="113"/>
      <c r="J223" s="113"/>
      <c r="K223" s="113"/>
      <c r="L223" s="115"/>
    </row>
    <row r="224" spans="2:12" s="112" customFormat="1" ht="12.75" x14ac:dyDescent="0.2">
      <c r="B224" s="113"/>
      <c r="C224" s="113"/>
      <c r="D224" s="114"/>
      <c r="E224" s="113"/>
      <c r="F224" s="113"/>
      <c r="G224" s="113"/>
      <c r="H224" s="113"/>
      <c r="I224" s="113"/>
      <c r="J224" s="113"/>
      <c r="K224" s="113"/>
      <c r="L224" s="115"/>
    </row>
    <row r="225" spans="2:12" s="112" customFormat="1" ht="12.75" x14ac:dyDescent="0.2">
      <c r="B225" s="113"/>
      <c r="C225" s="113"/>
      <c r="D225" s="114"/>
      <c r="E225" s="113"/>
      <c r="F225" s="113"/>
      <c r="G225" s="113"/>
      <c r="H225" s="113"/>
      <c r="I225" s="113"/>
      <c r="J225" s="113"/>
      <c r="K225" s="113"/>
      <c r="L225" s="115"/>
    </row>
    <row r="226" spans="2:12" s="112" customFormat="1" ht="12.75" x14ac:dyDescent="0.2">
      <c r="B226" s="113"/>
      <c r="C226" s="113"/>
      <c r="D226" s="114"/>
      <c r="E226" s="113"/>
      <c r="F226" s="113"/>
      <c r="G226" s="113"/>
      <c r="H226" s="113"/>
      <c r="I226" s="113"/>
      <c r="J226" s="113"/>
      <c r="K226" s="113"/>
      <c r="L226" s="115"/>
    </row>
    <row r="227" spans="2:12" s="112" customFormat="1" ht="12.75" x14ac:dyDescent="0.2">
      <c r="B227" s="113"/>
      <c r="C227" s="113"/>
      <c r="D227" s="114"/>
      <c r="E227" s="113"/>
      <c r="F227" s="113"/>
      <c r="G227" s="113"/>
      <c r="H227" s="113"/>
      <c r="I227" s="113"/>
      <c r="J227" s="113"/>
      <c r="K227" s="113"/>
      <c r="L227" s="115"/>
    </row>
    <row r="228" spans="2:12" s="112" customFormat="1" ht="12.75" x14ac:dyDescent="0.2">
      <c r="B228" s="113"/>
      <c r="C228" s="113"/>
      <c r="D228" s="114"/>
      <c r="E228" s="113"/>
      <c r="F228" s="113"/>
      <c r="G228" s="113"/>
      <c r="H228" s="113"/>
      <c r="I228" s="113"/>
      <c r="J228" s="113"/>
      <c r="K228" s="113"/>
      <c r="L228" s="115"/>
    </row>
    <row r="229" spans="2:12" s="112" customFormat="1" ht="12.75" x14ac:dyDescent="0.2">
      <c r="B229" s="113"/>
      <c r="C229" s="113"/>
      <c r="D229" s="114"/>
      <c r="E229" s="113"/>
      <c r="F229" s="113"/>
      <c r="G229" s="113"/>
      <c r="H229" s="113"/>
      <c r="I229" s="113"/>
      <c r="J229" s="113"/>
      <c r="K229" s="113"/>
      <c r="L229" s="115"/>
    </row>
    <row r="230" spans="2:12" s="112" customFormat="1" ht="12.75" x14ac:dyDescent="0.2">
      <c r="B230" s="113"/>
      <c r="C230" s="113"/>
      <c r="D230" s="114"/>
      <c r="E230" s="113"/>
      <c r="F230" s="113"/>
      <c r="G230" s="113"/>
      <c r="H230" s="113"/>
      <c r="I230" s="113"/>
      <c r="J230" s="113"/>
      <c r="K230" s="113"/>
      <c r="L230" s="115"/>
    </row>
    <row r="231" spans="2:12" s="112" customFormat="1" ht="12.75" x14ac:dyDescent="0.2">
      <c r="B231" s="113"/>
      <c r="C231" s="113"/>
      <c r="D231" s="114"/>
      <c r="E231" s="113"/>
      <c r="F231" s="113"/>
      <c r="G231" s="113"/>
      <c r="H231" s="113"/>
      <c r="I231" s="113"/>
      <c r="J231" s="113"/>
      <c r="K231" s="113"/>
      <c r="L231" s="115"/>
    </row>
    <row r="232" spans="2:12" s="112" customFormat="1" ht="12.75" x14ac:dyDescent="0.2">
      <c r="B232" s="113"/>
      <c r="C232" s="113"/>
      <c r="D232" s="114"/>
      <c r="E232" s="113"/>
      <c r="F232" s="113"/>
      <c r="G232" s="113"/>
      <c r="H232" s="113"/>
      <c r="I232" s="113"/>
      <c r="J232" s="113"/>
      <c r="K232" s="113"/>
      <c r="L232" s="115"/>
    </row>
    <row r="233" spans="2:12" s="112" customFormat="1" ht="12.75" x14ac:dyDescent="0.2">
      <c r="B233" s="113"/>
      <c r="C233" s="113"/>
      <c r="D233" s="114"/>
      <c r="E233" s="113"/>
      <c r="F233" s="113"/>
      <c r="G233" s="113"/>
      <c r="H233" s="113"/>
      <c r="I233" s="113"/>
      <c r="J233" s="113"/>
      <c r="K233" s="113"/>
      <c r="L233" s="115"/>
    </row>
    <row r="234" spans="2:12" s="112" customFormat="1" ht="12.75" x14ac:dyDescent="0.2">
      <c r="B234" s="113"/>
      <c r="C234" s="113"/>
      <c r="D234" s="114"/>
      <c r="E234" s="113"/>
      <c r="F234" s="113"/>
      <c r="G234" s="113"/>
      <c r="H234" s="113"/>
      <c r="I234" s="113"/>
      <c r="J234" s="113"/>
      <c r="K234" s="113"/>
      <c r="L234" s="115"/>
    </row>
    <row r="235" spans="2:12" s="112" customFormat="1" ht="12.75" x14ac:dyDescent="0.2">
      <c r="B235" s="113"/>
      <c r="C235" s="113"/>
      <c r="D235" s="114"/>
      <c r="E235" s="113"/>
      <c r="F235" s="113"/>
      <c r="G235" s="113"/>
      <c r="H235" s="113"/>
      <c r="I235" s="113"/>
      <c r="J235" s="113"/>
      <c r="K235" s="113"/>
      <c r="L235" s="115"/>
    </row>
    <row r="236" spans="2:12" s="112" customFormat="1" ht="12.75" x14ac:dyDescent="0.2">
      <c r="B236" s="113"/>
      <c r="C236" s="113"/>
      <c r="D236" s="114"/>
      <c r="E236" s="113"/>
      <c r="F236" s="113"/>
      <c r="G236" s="113"/>
      <c r="H236" s="113"/>
      <c r="I236" s="113"/>
      <c r="J236" s="113"/>
      <c r="K236" s="113"/>
      <c r="L236" s="115"/>
    </row>
    <row r="237" spans="2:12" s="112" customFormat="1" ht="12.75" x14ac:dyDescent="0.2">
      <c r="B237" s="113"/>
      <c r="C237" s="113"/>
      <c r="D237" s="114"/>
      <c r="E237" s="113"/>
      <c r="F237" s="113"/>
      <c r="G237" s="113"/>
      <c r="H237" s="113"/>
      <c r="I237" s="113"/>
      <c r="J237" s="113"/>
      <c r="K237" s="113"/>
      <c r="L237" s="115"/>
    </row>
    <row r="238" spans="2:12" s="112" customFormat="1" ht="12.75" x14ac:dyDescent="0.2">
      <c r="B238" s="113"/>
      <c r="C238" s="113"/>
      <c r="D238" s="114"/>
      <c r="E238" s="113"/>
      <c r="F238" s="113"/>
      <c r="G238" s="113"/>
      <c r="H238" s="113"/>
      <c r="I238" s="113"/>
      <c r="J238" s="113"/>
      <c r="K238" s="113"/>
      <c r="L238" s="115"/>
    </row>
    <row r="239" spans="2:12" s="112" customFormat="1" ht="12.75" x14ac:dyDescent="0.2">
      <c r="B239" s="113"/>
      <c r="C239" s="113"/>
      <c r="D239" s="114"/>
      <c r="E239" s="113"/>
      <c r="F239" s="113"/>
      <c r="G239" s="113"/>
      <c r="H239" s="113"/>
      <c r="I239" s="113"/>
      <c r="J239" s="113"/>
      <c r="K239" s="113"/>
      <c r="L239" s="115"/>
    </row>
    <row r="240" spans="2:12" s="112" customFormat="1" ht="12.75" x14ac:dyDescent="0.2">
      <c r="B240" s="113"/>
      <c r="C240" s="113"/>
      <c r="D240" s="114"/>
      <c r="E240" s="113"/>
      <c r="F240" s="113"/>
      <c r="G240" s="113"/>
      <c r="H240" s="113"/>
      <c r="I240" s="113"/>
      <c r="J240" s="113"/>
      <c r="K240" s="113"/>
      <c r="L240" s="115"/>
    </row>
    <row r="241" spans="2:12" s="112" customFormat="1" ht="12.75" x14ac:dyDescent="0.2">
      <c r="B241" s="113"/>
      <c r="C241" s="113"/>
      <c r="D241" s="114"/>
      <c r="E241" s="113"/>
      <c r="F241" s="113"/>
      <c r="G241" s="113"/>
      <c r="H241" s="113"/>
      <c r="I241" s="113"/>
      <c r="J241" s="113"/>
      <c r="K241" s="113"/>
      <c r="L241" s="115"/>
    </row>
    <row r="242" spans="2:12" s="112" customFormat="1" ht="12.75" x14ac:dyDescent="0.2">
      <c r="B242" s="113"/>
      <c r="C242" s="113"/>
      <c r="D242" s="114"/>
      <c r="E242" s="113"/>
      <c r="F242" s="113"/>
      <c r="G242" s="113"/>
      <c r="H242" s="113"/>
      <c r="I242" s="113"/>
      <c r="J242" s="113"/>
      <c r="K242" s="113"/>
      <c r="L242" s="115"/>
    </row>
    <row r="243" spans="2:12" s="112" customFormat="1" ht="12.75" x14ac:dyDescent="0.2">
      <c r="B243" s="113"/>
      <c r="C243" s="113"/>
      <c r="D243" s="114"/>
      <c r="E243" s="113"/>
      <c r="F243" s="113"/>
      <c r="G243" s="113"/>
      <c r="H243" s="113"/>
      <c r="I243" s="113"/>
      <c r="J243" s="113"/>
      <c r="K243" s="113"/>
      <c r="L243" s="115"/>
    </row>
    <row r="244" spans="2:12" s="112" customFormat="1" ht="12.75" x14ac:dyDescent="0.2">
      <c r="B244" s="113"/>
      <c r="C244" s="113"/>
      <c r="D244" s="114"/>
      <c r="E244" s="113"/>
      <c r="F244" s="113"/>
      <c r="G244" s="113"/>
      <c r="H244" s="113"/>
      <c r="I244" s="113"/>
      <c r="J244" s="113"/>
      <c r="K244" s="113"/>
      <c r="L244" s="115"/>
    </row>
    <row r="245" spans="2:12" s="112" customFormat="1" ht="12.75" x14ac:dyDescent="0.2">
      <c r="B245" s="113"/>
      <c r="C245" s="113"/>
      <c r="D245" s="114"/>
      <c r="E245" s="113"/>
      <c r="F245" s="113"/>
      <c r="G245" s="113"/>
      <c r="H245" s="113"/>
      <c r="I245" s="113"/>
      <c r="J245" s="113"/>
      <c r="K245" s="113"/>
      <c r="L245" s="115"/>
    </row>
    <row r="246" spans="2:12" s="112" customFormat="1" ht="12.75" x14ac:dyDescent="0.2">
      <c r="B246" s="113"/>
      <c r="C246" s="113"/>
      <c r="D246" s="114"/>
      <c r="E246" s="113"/>
      <c r="F246" s="113"/>
      <c r="G246" s="113"/>
      <c r="H246" s="113"/>
      <c r="I246" s="113"/>
      <c r="J246" s="113"/>
      <c r="K246" s="113"/>
      <c r="L246" s="115"/>
    </row>
    <row r="247" spans="2:12" s="112" customFormat="1" ht="12.75" x14ac:dyDescent="0.2">
      <c r="B247" s="113"/>
      <c r="C247" s="113"/>
      <c r="D247" s="114"/>
      <c r="E247" s="113"/>
      <c r="F247" s="113"/>
      <c r="G247" s="113"/>
      <c r="H247" s="113"/>
      <c r="I247" s="113"/>
      <c r="J247" s="113"/>
      <c r="K247" s="113"/>
      <c r="L247" s="115"/>
    </row>
    <row r="248" spans="2:12" s="112" customFormat="1" ht="12.75" x14ac:dyDescent="0.2">
      <c r="B248" s="113"/>
      <c r="C248" s="113"/>
      <c r="D248" s="114"/>
      <c r="E248" s="113"/>
      <c r="F248" s="113"/>
      <c r="G248" s="113"/>
      <c r="H248" s="113"/>
      <c r="I248" s="113"/>
      <c r="J248" s="113"/>
      <c r="K248" s="113"/>
      <c r="L248" s="115"/>
    </row>
    <row r="249" spans="2:12" s="112" customFormat="1" ht="12.75" x14ac:dyDescent="0.2">
      <c r="B249" s="113"/>
      <c r="C249" s="113"/>
      <c r="D249" s="114"/>
      <c r="E249" s="113"/>
      <c r="F249" s="113"/>
      <c r="G249" s="113"/>
      <c r="H249" s="113"/>
      <c r="I249" s="113"/>
      <c r="J249" s="113"/>
      <c r="K249" s="113"/>
      <c r="L249" s="115"/>
    </row>
    <row r="250" spans="2:12" s="112" customFormat="1" ht="12.75" x14ac:dyDescent="0.2">
      <c r="B250" s="113"/>
      <c r="C250" s="113"/>
      <c r="D250" s="114"/>
      <c r="E250" s="113"/>
      <c r="F250" s="113"/>
      <c r="G250" s="113"/>
      <c r="H250" s="113"/>
      <c r="I250" s="113"/>
      <c r="J250" s="113"/>
      <c r="K250" s="113"/>
      <c r="L250" s="115"/>
    </row>
    <row r="251" spans="2:12" s="112" customFormat="1" ht="12.75" x14ac:dyDescent="0.2">
      <c r="B251" s="113"/>
      <c r="C251" s="113"/>
      <c r="D251" s="114"/>
      <c r="E251" s="113"/>
      <c r="F251" s="113"/>
      <c r="G251" s="113"/>
      <c r="H251" s="113"/>
      <c r="I251" s="113"/>
      <c r="J251" s="113"/>
      <c r="K251" s="113"/>
      <c r="L251" s="115"/>
    </row>
    <row r="252" spans="2:12" s="112" customFormat="1" ht="12.75" x14ac:dyDescent="0.2">
      <c r="B252" s="113"/>
      <c r="C252" s="113"/>
      <c r="D252" s="114"/>
      <c r="E252" s="113"/>
      <c r="F252" s="113"/>
      <c r="G252" s="113"/>
      <c r="H252" s="113"/>
      <c r="I252" s="113"/>
      <c r="J252" s="113"/>
      <c r="K252" s="113"/>
      <c r="L252" s="115"/>
    </row>
    <row r="253" spans="2:12" s="112" customFormat="1" ht="12.75" x14ac:dyDescent="0.2">
      <c r="B253" s="113"/>
      <c r="C253" s="113"/>
      <c r="D253" s="114"/>
      <c r="E253" s="113"/>
      <c r="F253" s="113"/>
      <c r="G253" s="113"/>
      <c r="H253" s="113"/>
      <c r="I253" s="113"/>
      <c r="J253" s="113"/>
      <c r="K253" s="113"/>
      <c r="L253" s="115"/>
    </row>
    <row r="254" spans="2:12" s="112" customFormat="1" ht="12.75" x14ac:dyDescent="0.2">
      <c r="B254" s="113"/>
      <c r="C254" s="113"/>
      <c r="D254" s="114"/>
      <c r="E254" s="113"/>
      <c r="F254" s="113"/>
      <c r="G254" s="113"/>
      <c r="H254" s="113"/>
      <c r="I254" s="113"/>
      <c r="J254" s="113"/>
      <c r="K254" s="113"/>
      <c r="L254" s="115"/>
    </row>
    <row r="255" spans="2:12" s="112" customFormat="1" ht="12.75" x14ac:dyDescent="0.2">
      <c r="B255" s="113"/>
      <c r="C255" s="113"/>
      <c r="D255" s="114"/>
      <c r="E255" s="113"/>
      <c r="F255" s="113"/>
      <c r="G255" s="113"/>
      <c r="H255" s="113"/>
      <c r="I255" s="113"/>
      <c r="J255" s="113"/>
      <c r="K255" s="113"/>
      <c r="L255" s="115"/>
    </row>
    <row r="256" spans="2:12" s="112" customFormat="1" ht="12.75" x14ac:dyDescent="0.2">
      <c r="B256" s="113"/>
      <c r="C256" s="113"/>
      <c r="D256" s="114"/>
      <c r="E256" s="113"/>
      <c r="F256" s="113"/>
      <c r="G256" s="113"/>
      <c r="H256" s="113"/>
      <c r="I256" s="113"/>
      <c r="J256" s="113"/>
      <c r="K256" s="113"/>
      <c r="L256" s="115"/>
    </row>
    <row r="257" spans="2:12" s="112" customFormat="1" ht="12.75" x14ac:dyDescent="0.2">
      <c r="B257" s="113"/>
      <c r="C257" s="113"/>
      <c r="D257" s="114"/>
      <c r="E257" s="113"/>
      <c r="F257" s="113"/>
      <c r="G257" s="113"/>
      <c r="H257" s="113"/>
      <c r="I257" s="113"/>
      <c r="J257" s="113"/>
      <c r="K257" s="113"/>
      <c r="L257" s="115"/>
    </row>
    <row r="258" spans="2:12" s="112" customFormat="1" ht="12.75" x14ac:dyDescent="0.2">
      <c r="B258" s="113"/>
      <c r="C258" s="113"/>
      <c r="D258" s="114"/>
      <c r="E258" s="113"/>
      <c r="F258" s="113"/>
      <c r="G258" s="113"/>
      <c r="H258" s="113"/>
      <c r="I258" s="113"/>
      <c r="J258" s="113"/>
      <c r="K258" s="113"/>
      <c r="L258" s="115"/>
    </row>
    <row r="259" spans="2:12" s="112" customFormat="1" ht="12.75" x14ac:dyDescent="0.2">
      <c r="B259" s="113"/>
      <c r="C259" s="113"/>
      <c r="D259" s="114"/>
      <c r="E259" s="113"/>
      <c r="F259" s="113"/>
      <c r="G259" s="113"/>
      <c r="H259" s="113"/>
      <c r="I259" s="113"/>
      <c r="J259" s="113"/>
      <c r="K259" s="113"/>
      <c r="L259" s="115"/>
    </row>
    <row r="260" spans="2:12" s="112" customFormat="1" ht="12.75" x14ac:dyDescent="0.2">
      <c r="B260" s="113"/>
      <c r="C260" s="113"/>
      <c r="D260" s="114"/>
      <c r="E260" s="113"/>
      <c r="F260" s="113"/>
      <c r="G260" s="113"/>
      <c r="H260" s="113"/>
      <c r="I260" s="113"/>
      <c r="J260" s="113"/>
      <c r="K260" s="113"/>
      <c r="L260" s="115"/>
    </row>
    <row r="261" spans="2:12" s="112" customFormat="1" ht="12.75" x14ac:dyDescent="0.2">
      <c r="B261" s="113"/>
      <c r="C261" s="113"/>
      <c r="D261" s="114"/>
      <c r="E261" s="113"/>
      <c r="F261" s="113"/>
      <c r="G261" s="113"/>
      <c r="H261" s="113"/>
      <c r="I261" s="113"/>
      <c r="J261" s="113"/>
      <c r="K261" s="113"/>
      <c r="L261" s="115"/>
    </row>
    <row r="262" spans="2:12" s="112" customFormat="1" ht="12.75" x14ac:dyDescent="0.2">
      <c r="B262" s="113"/>
      <c r="C262" s="113"/>
      <c r="D262" s="114"/>
      <c r="E262" s="113"/>
      <c r="F262" s="113"/>
      <c r="G262" s="113"/>
      <c r="H262" s="113"/>
      <c r="I262" s="113"/>
      <c r="J262" s="113"/>
      <c r="K262" s="113"/>
      <c r="L262" s="115"/>
    </row>
    <row r="263" spans="2:12" s="112" customFormat="1" ht="12.75" x14ac:dyDescent="0.2">
      <c r="B263" s="113"/>
      <c r="C263" s="113"/>
      <c r="D263" s="114"/>
      <c r="E263" s="113"/>
      <c r="F263" s="113"/>
      <c r="G263" s="113"/>
      <c r="H263" s="113"/>
      <c r="I263" s="113"/>
      <c r="J263" s="113"/>
      <c r="K263" s="113"/>
      <c r="L263" s="115"/>
    </row>
    <row r="264" spans="2:12" s="112" customFormat="1" ht="12.75" x14ac:dyDescent="0.2">
      <c r="B264" s="113"/>
      <c r="C264" s="113"/>
      <c r="D264" s="114"/>
      <c r="E264" s="113"/>
      <c r="F264" s="113"/>
      <c r="G264" s="113"/>
      <c r="H264" s="113"/>
      <c r="I264" s="113"/>
      <c r="J264" s="113"/>
      <c r="K264" s="113"/>
      <c r="L264" s="115"/>
    </row>
    <row r="265" spans="2:12" s="112" customFormat="1" ht="12.75" x14ac:dyDescent="0.2">
      <c r="B265" s="113"/>
      <c r="C265" s="113"/>
      <c r="D265" s="114"/>
      <c r="E265" s="113"/>
      <c r="F265" s="113"/>
      <c r="G265" s="113"/>
      <c r="H265" s="113"/>
      <c r="I265" s="113"/>
      <c r="J265" s="113"/>
      <c r="K265" s="113"/>
      <c r="L265" s="115"/>
    </row>
    <row r="266" spans="2:12" s="112" customFormat="1" ht="12.75" x14ac:dyDescent="0.2">
      <c r="B266" s="113"/>
      <c r="C266" s="113"/>
      <c r="D266" s="114"/>
      <c r="E266" s="113"/>
      <c r="F266" s="113"/>
      <c r="G266" s="113"/>
      <c r="H266" s="113"/>
      <c r="I266" s="113"/>
      <c r="J266" s="113"/>
      <c r="K266" s="113"/>
      <c r="L266" s="115"/>
    </row>
    <row r="267" spans="2:12" s="112" customFormat="1" ht="12.75" x14ac:dyDescent="0.2">
      <c r="B267" s="113"/>
      <c r="C267" s="113"/>
      <c r="D267" s="114"/>
      <c r="E267" s="113"/>
      <c r="F267" s="113"/>
      <c r="G267" s="113"/>
      <c r="H267" s="113"/>
      <c r="I267" s="113"/>
      <c r="J267" s="113"/>
      <c r="K267" s="113"/>
      <c r="L267" s="115"/>
    </row>
    <row r="268" spans="2:12" s="112" customFormat="1" ht="12.75" x14ac:dyDescent="0.2">
      <c r="B268" s="113"/>
      <c r="C268" s="113"/>
      <c r="D268" s="114"/>
      <c r="E268" s="113"/>
      <c r="F268" s="113"/>
      <c r="G268" s="113"/>
      <c r="H268" s="113"/>
      <c r="I268" s="113"/>
      <c r="J268" s="113"/>
      <c r="K268" s="113"/>
      <c r="L268" s="115"/>
    </row>
    <row r="269" spans="2:12" s="112" customFormat="1" ht="12.75" x14ac:dyDescent="0.2">
      <c r="B269" s="113"/>
      <c r="C269" s="113"/>
      <c r="D269" s="114"/>
      <c r="E269" s="113"/>
      <c r="F269" s="113"/>
      <c r="G269" s="113"/>
      <c r="H269" s="113"/>
      <c r="I269" s="113"/>
      <c r="J269" s="113"/>
      <c r="K269" s="113"/>
      <c r="L269" s="115"/>
    </row>
    <row r="270" spans="2:12" s="112" customFormat="1" ht="12.75" x14ac:dyDescent="0.2">
      <c r="B270" s="113"/>
      <c r="C270" s="113"/>
      <c r="D270" s="114"/>
      <c r="E270" s="113"/>
      <c r="F270" s="113"/>
      <c r="G270" s="113"/>
      <c r="H270" s="113"/>
      <c r="I270" s="113"/>
      <c r="J270" s="113"/>
      <c r="K270" s="113"/>
      <c r="L270" s="115"/>
    </row>
    <row r="271" spans="2:12" s="112" customFormat="1" ht="12.75" x14ac:dyDescent="0.2">
      <c r="B271" s="113"/>
      <c r="C271" s="113"/>
      <c r="D271" s="114"/>
      <c r="E271" s="113"/>
      <c r="F271" s="113"/>
      <c r="G271" s="113"/>
      <c r="H271" s="113"/>
      <c r="I271" s="113"/>
      <c r="J271" s="113"/>
      <c r="K271" s="113"/>
      <c r="L271" s="115"/>
    </row>
    <row r="272" spans="2:12" s="112" customFormat="1" ht="12.75" x14ac:dyDescent="0.2">
      <c r="B272" s="113"/>
      <c r="C272" s="113"/>
      <c r="D272" s="114"/>
      <c r="E272" s="113"/>
      <c r="F272" s="113"/>
      <c r="G272" s="113"/>
      <c r="H272" s="113"/>
      <c r="I272" s="113"/>
      <c r="J272" s="113"/>
      <c r="K272" s="113"/>
      <c r="L272" s="115"/>
    </row>
    <row r="273" spans="2:12" s="112" customFormat="1" ht="12.75" x14ac:dyDescent="0.2">
      <c r="B273" s="113"/>
      <c r="C273" s="113"/>
      <c r="D273" s="114"/>
      <c r="E273" s="113"/>
      <c r="F273" s="113"/>
      <c r="G273" s="113"/>
      <c r="H273" s="113"/>
      <c r="I273" s="113"/>
      <c r="J273" s="113"/>
      <c r="K273" s="113"/>
      <c r="L273" s="115"/>
    </row>
    <row r="274" spans="2:12" s="112" customFormat="1" ht="12.75" x14ac:dyDescent="0.2">
      <c r="B274" s="113"/>
      <c r="C274" s="113"/>
      <c r="D274" s="114"/>
      <c r="E274" s="113"/>
      <c r="F274" s="113"/>
      <c r="G274" s="113"/>
      <c r="H274" s="113"/>
      <c r="I274" s="113"/>
      <c r="J274" s="113"/>
      <c r="K274" s="113"/>
      <c r="L274" s="115"/>
    </row>
    <row r="275" spans="2:12" s="112" customFormat="1" ht="12.75" x14ac:dyDescent="0.2">
      <c r="B275" s="113"/>
      <c r="C275" s="113"/>
      <c r="D275" s="114"/>
      <c r="E275" s="113"/>
      <c r="F275" s="113"/>
      <c r="G275" s="113"/>
      <c r="H275" s="113"/>
      <c r="I275" s="113"/>
      <c r="J275" s="113"/>
      <c r="K275" s="113"/>
      <c r="L275" s="115"/>
    </row>
    <row r="276" spans="2:12" s="112" customFormat="1" ht="12.75" x14ac:dyDescent="0.2">
      <c r="B276" s="113"/>
      <c r="C276" s="113"/>
      <c r="D276" s="114"/>
      <c r="E276" s="113"/>
      <c r="F276" s="113"/>
      <c r="G276" s="113"/>
      <c r="H276" s="113"/>
      <c r="I276" s="113"/>
      <c r="J276" s="113"/>
      <c r="K276" s="113"/>
      <c r="L276" s="115"/>
    </row>
    <row r="277" spans="2:12" s="112" customFormat="1" ht="12.75" x14ac:dyDescent="0.2">
      <c r="B277" s="113"/>
      <c r="C277" s="113"/>
      <c r="D277" s="114"/>
      <c r="E277" s="113"/>
      <c r="F277" s="113"/>
      <c r="G277" s="113"/>
      <c r="H277" s="113"/>
      <c r="I277" s="113"/>
      <c r="J277" s="113"/>
      <c r="K277" s="113"/>
      <c r="L277" s="115"/>
    </row>
    <row r="278" spans="2:12" s="112" customFormat="1" ht="12.75" x14ac:dyDescent="0.2">
      <c r="B278" s="113"/>
      <c r="C278" s="113"/>
      <c r="D278" s="114"/>
      <c r="E278" s="113"/>
      <c r="F278" s="113"/>
      <c r="G278" s="113"/>
      <c r="H278" s="113"/>
      <c r="I278" s="113"/>
      <c r="J278" s="113"/>
      <c r="K278" s="113"/>
      <c r="L278" s="115"/>
    </row>
    <row r="279" spans="2:12" s="112" customFormat="1" ht="12.75" x14ac:dyDescent="0.2">
      <c r="B279" s="113"/>
      <c r="C279" s="113"/>
      <c r="D279" s="114"/>
      <c r="E279" s="113"/>
      <c r="F279" s="113"/>
      <c r="G279" s="113"/>
      <c r="H279" s="113"/>
      <c r="I279" s="113"/>
      <c r="J279" s="113"/>
      <c r="K279" s="113"/>
      <c r="L279" s="115"/>
    </row>
    <row r="280" spans="2:12" s="112" customFormat="1" ht="12.75" x14ac:dyDescent="0.2">
      <c r="B280" s="113"/>
      <c r="C280" s="113"/>
      <c r="D280" s="114"/>
      <c r="E280" s="113"/>
      <c r="F280" s="113"/>
      <c r="G280" s="113"/>
      <c r="H280" s="113"/>
      <c r="I280" s="113"/>
      <c r="J280" s="113"/>
      <c r="K280" s="113"/>
      <c r="L280" s="115"/>
    </row>
    <row r="281" spans="2:12" s="112" customFormat="1" ht="12.75" x14ac:dyDescent="0.2">
      <c r="B281" s="113"/>
      <c r="C281" s="113"/>
      <c r="D281" s="114"/>
      <c r="E281" s="113"/>
      <c r="F281" s="113"/>
      <c r="G281" s="113"/>
      <c r="H281" s="113"/>
      <c r="I281" s="113"/>
      <c r="J281" s="113"/>
      <c r="K281" s="113"/>
      <c r="L281" s="115"/>
    </row>
    <row r="282" spans="2:12" s="112" customFormat="1" ht="12.75" x14ac:dyDescent="0.2">
      <c r="B282" s="113"/>
      <c r="C282" s="113"/>
      <c r="D282" s="114"/>
      <c r="E282" s="113"/>
      <c r="F282" s="113"/>
      <c r="G282" s="113"/>
      <c r="H282" s="113"/>
      <c r="I282" s="113"/>
      <c r="J282" s="113"/>
      <c r="K282" s="113"/>
      <c r="L282" s="115"/>
    </row>
    <row r="283" spans="2:12" s="112" customFormat="1" ht="12.75" x14ac:dyDescent="0.2">
      <c r="B283" s="113"/>
      <c r="C283" s="113"/>
      <c r="D283" s="114"/>
      <c r="E283" s="113"/>
      <c r="F283" s="113"/>
      <c r="G283" s="113"/>
      <c r="H283" s="113"/>
      <c r="I283" s="113"/>
      <c r="J283" s="113"/>
      <c r="K283" s="113"/>
      <c r="L283" s="115"/>
    </row>
    <row r="284" spans="2:12" s="112" customFormat="1" ht="12.75" x14ac:dyDescent="0.2">
      <c r="B284" s="113"/>
      <c r="C284" s="113"/>
      <c r="D284" s="114"/>
      <c r="E284" s="113"/>
      <c r="F284" s="113"/>
      <c r="G284" s="113"/>
      <c r="H284" s="113"/>
      <c r="I284" s="113"/>
      <c r="J284" s="113"/>
      <c r="K284" s="113"/>
      <c r="L284" s="115"/>
    </row>
    <row r="285" spans="2:12" s="112" customFormat="1" ht="12.75" x14ac:dyDescent="0.2">
      <c r="B285" s="113"/>
      <c r="C285" s="113"/>
      <c r="D285" s="114"/>
      <c r="E285" s="113"/>
      <c r="F285" s="113"/>
      <c r="G285" s="113"/>
      <c r="H285" s="113"/>
      <c r="I285" s="113"/>
      <c r="J285" s="113"/>
      <c r="K285" s="113"/>
      <c r="L285" s="115"/>
    </row>
    <row r="286" spans="2:12" s="112" customFormat="1" ht="12.75" x14ac:dyDescent="0.2">
      <c r="B286" s="113"/>
      <c r="C286" s="113"/>
      <c r="D286" s="114"/>
      <c r="E286" s="113"/>
      <c r="F286" s="113"/>
      <c r="G286" s="113"/>
      <c r="H286" s="113"/>
      <c r="I286" s="113"/>
      <c r="J286" s="113"/>
      <c r="K286" s="113"/>
      <c r="L286" s="115"/>
    </row>
    <row r="287" spans="2:12" s="112" customFormat="1" ht="12.75" x14ac:dyDescent="0.2">
      <c r="B287" s="113"/>
      <c r="C287" s="113"/>
      <c r="D287" s="114"/>
      <c r="E287" s="113"/>
      <c r="F287" s="113"/>
      <c r="G287" s="113"/>
      <c r="H287" s="113"/>
      <c r="I287" s="113"/>
      <c r="J287" s="113"/>
      <c r="K287" s="113"/>
      <c r="L287" s="115"/>
    </row>
    <row r="288" spans="2:12" s="112" customFormat="1" ht="12.75" x14ac:dyDescent="0.2">
      <c r="B288" s="113"/>
      <c r="C288" s="113"/>
      <c r="D288" s="114"/>
      <c r="E288" s="113"/>
      <c r="F288" s="113"/>
      <c r="G288" s="113"/>
      <c r="H288" s="113"/>
      <c r="I288" s="113"/>
      <c r="J288" s="113"/>
      <c r="K288" s="113"/>
      <c r="L288" s="115"/>
    </row>
    <row r="289" spans="2:12" s="112" customFormat="1" ht="12.75" x14ac:dyDescent="0.2">
      <c r="B289" s="113"/>
      <c r="C289" s="113"/>
      <c r="D289" s="114"/>
      <c r="E289" s="113"/>
      <c r="F289" s="113"/>
      <c r="G289" s="113"/>
      <c r="H289" s="113"/>
      <c r="I289" s="113"/>
      <c r="J289" s="113"/>
      <c r="K289" s="113"/>
      <c r="L289" s="115"/>
    </row>
    <row r="290" spans="2:12" s="112" customFormat="1" ht="12.75" x14ac:dyDescent="0.2">
      <c r="B290" s="113"/>
      <c r="C290" s="113"/>
      <c r="D290" s="114"/>
      <c r="E290" s="113"/>
      <c r="F290" s="113"/>
      <c r="G290" s="113"/>
      <c r="H290" s="113"/>
      <c r="I290" s="113"/>
      <c r="J290" s="113"/>
      <c r="K290" s="113"/>
      <c r="L290" s="115"/>
    </row>
    <row r="291" spans="2:12" s="112" customFormat="1" ht="12.75" x14ac:dyDescent="0.2">
      <c r="B291" s="113"/>
      <c r="C291" s="113"/>
      <c r="D291" s="114"/>
      <c r="E291" s="113"/>
      <c r="F291" s="113"/>
      <c r="G291" s="113"/>
      <c r="H291" s="113"/>
      <c r="I291" s="113"/>
      <c r="J291" s="113"/>
      <c r="K291" s="113"/>
      <c r="L291" s="115"/>
    </row>
    <row r="292" spans="2:12" s="112" customFormat="1" ht="12.75" x14ac:dyDescent="0.2">
      <c r="B292" s="113"/>
      <c r="C292" s="113"/>
      <c r="D292" s="114"/>
      <c r="E292" s="113"/>
      <c r="F292" s="113"/>
      <c r="G292" s="113"/>
      <c r="H292" s="113"/>
      <c r="I292" s="113"/>
      <c r="J292" s="113"/>
      <c r="K292" s="113"/>
      <c r="L292" s="115"/>
    </row>
    <row r="293" spans="2:12" s="112" customFormat="1" ht="12.75" x14ac:dyDescent="0.2">
      <c r="B293" s="113"/>
      <c r="C293" s="113"/>
      <c r="D293" s="114"/>
      <c r="E293" s="113"/>
      <c r="F293" s="113"/>
      <c r="G293" s="113"/>
      <c r="H293" s="113"/>
      <c r="I293" s="113"/>
      <c r="J293" s="113"/>
      <c r="K293" s="113"/>
      <c r="L293" s="115"/>
    </row>
    <row r="294" spans="2:12" s="112" customFormat="1" ht="12.75" x14ac:dyDescent="0.2">
      <c r="B294" s="113"/>
      <c r="C294" s="113"/>
      <c r="D294" s="114"/>
      <c r="E294" s="113"/>
      <c r="F294" s="113"/>
      <c r="G294" s="113"/>
      <c r="H294" s="113"/>
      <c r="I294" s="113"/>
      <c r="J294" s="113"/>
      <c r="K294" s="113"/>
      <c r="L294" s="115"/>
    </row>
    <row r="295" spans="2:12" s="112" customFormat="1" ht="12.75" x14ac:dyDescent="0.2">
      <c r="B295" s="113"/>
      <c r="C295" s="113"/>
      <c r="D295" s="114"/>
      <c r="E295" s="113"/>
      <c r="F295" s="113"/>
      <c r="G295" s="113"/>
      <c r="H295" s="113"/>
      <c r="I295" s="113"/>
      <c r="J295" s="113"/>
      <c r="K295" s="113"/>
      <c r="L295" s="115"/>
    </row>
    <row r="296" spans="2:12" s="112" customFormat="1" ht="12.75" x14ac:dyDescent="0.2">
      <c r="B296" s="113"/>
      <c r="C296" s="113"/>
      <c r="D296" s="114"/>
      <c r="E296" s="113"/>
      <c r="F296" s="113"/>
      <c r="G296" s="113"/>
      <c r="H296" s="113"/>
      <c r="I296" s="113"/>
      <c r="J296" s="113"/>
      <c r="K296" s="113"/>
      <c r="L296" s="115"/>
    </row>
    <row r="297" spans="2:12" s="112" customFormat="1" ht="12.75" x14ac:dyDescent="0.2">
      <c r="B297" s="113"/>
      <c r="C297" s="113"/>
      <c r="D297" s="114"/>
      <c r="E297" s="113"/>
      <c r="F297" s="113"/>
      <c r="G297" s="113"/>
      <c r="H297" s="113"/>
      <c r="I297" s="113"/>
      <c r="J297" s="113"/>
      <c r="K297" s="113"/>
      <c r="L297" s="115"/>
    </row>
    <row r="298" spans="2:12" s="112" customFormat="1" ht="12.75" x14ac:dyDescent="0.2">
      <c r="B298" s="113"/>
      <c r="C298" s="113"/>
      <c r="D298" s="114"/>
      <c r="E298" s="113"/>
      <c r="F298" s="113"/>
      <c r="G298" s="113"/>
      <c r="H298" s="113"/>
      <c r="I298" s="113"/>
      <c r="J298" s="113"/>
      <c r="K298" s="113"/>
      <c r="L298" s="115"/>
    </row>
    <row r="299" spans="2:12" s="112" customFormat="1" ht="12.75" x14ac:dyDescent="0.2">
      <c r="B299" s="113"/>
      <c r="C299" s="113"/>
      <c r="D299" s="114"/>
      <c r="E299" s="113"/>
      <c r="F299" s="113"/>
      <c r="G299" s="113"/>
      <c r="H299" s="113"/>
      <c r="I299" s="113"/>
      <c r="J299" s="113"/>
      <c r="K299" s="113"/>
      <c r="L299" s="115"/>
    </row>
    <row r="300" spans="2:12" s="112" customFormat="1" ht="12.75" x14ac:dyDescent="0.2">
      <c r="B300" s="113"/>
      <c r="C300" s="113"/>
      <c r="D300" s="114"/>
      <c r="E300" s="113"/>
      <c r="F300" s="113"/>
      <c r="G300" s="113"/>
      <c r="H300" s="113"/>
      <c r="I300" s="113"/>
      <c r="J300" s="113"/>
      <c r="K300" s="113"/>
      <c r="L300" s="115"/>
    </row>
    <row r="301" spans="2:12" s="112" customFormat="1" ht="12.75" x14ac:dyDescent="0.2">
      <c r="B301" s="113"/>
      <c r="C301" s="113"/>
      <c r="D301" s="114"/>
      <c r="E301" s="113"/>
      <c r="F301" s="113"/>
      <c r="G301" s="113"/>
      <c r="H301" s="113"/>
      <c r="I301" s="113"/>
      <c r="J301" s="113"/>
      <c r="K301" s="113"/>
      <c r="L301" s="115"/>
    </row>
    <row r="302" spans="2:12" s="112" customFormat="1" ht="12.75" x14ac:dyDescent="0.2">
      <c r="B302" s="113"/>
      <c r="C302" s="113"/>
      <c r="D302" s="114"/>
      <c r="E302" s="113"/>
      <c r="F302" s="113"/>
      <c r="G302" s="113"/>
      <c r="H302" s="113"/>
      <c r="I302" s="113"/>
      <c r="J302" s="113"/>
      <c r="K302" s="113"/>
      <c r="L302" s="115"/>
    </row>
    <row r="303" spans="2:12" s="112" customFormat="1" ht="12.75" x14ac:dyDescent="0.2">
      <c r="B303" s="113"/>
      <c r="C303" s="113"/>
      <c r="D303" s="114"/>
      <c r="E303" s="113"/>
      <c r="F303" s="113"/>
      <c r="G303" s="113"/>
      <c r="H303" s="113"/>
      <c r="I303" s="113"/>
      <c r="J303" s="113"/>
      <c r="K303" s="113"/>
      <c r="L303" s="115"/>
    </row>
    <row r="304" spans="2:12" s="112" customFormat="1" ht="12.75" x14ac:dyDescent="0.2">
      <c r="B304" s="113"/>
      <c r="C304" s="113"/>
      <c r="D304" s="114"/>
      <c r="E304" s="113"/>
      <c r="F304" s="113"/>
      <c r="G304" s="113"/>
      <c r="H304" s="113"/>
      <c r="I304" s="113"/>
      <c r="J304" s="113"/>
      <c r="K304" s="113"/>
      <c r="L304" s="115"/>
    </row>
    <row r="305" spans="2:12" s="112" customFormat="1" ht="12.75" x14ac:dyDescent="0.2">
      <c r="B305" s="113"/>
      <c r="C305" s="113"/>
      <c r="D305" s="114"/>
      <c r="E305" s="113"/>
      <c r="F305" s="113"/>
      <c r="G305" s="113"/>
      <c r="H305" s="113"/>
      <c r="I305" s="113"/>
      <c r="J305" s="113"/>
      <c r="K305" s="113"/>
      <c r="L305" s="115"/>
    </row>
    <row r="306" spans="2:12" s="112" customFormat="1" ht="12.75" x14ac:dyDescent="0.2">
      <c r="B306" s="113"/>
      <c r="C306" s="113"/>
      <c r="D306" s="114"/>
      <c r="E306" s="113"/>
      <c r="F306" s="113"/>
      <c r="G306" s="113"/>
      <c r="H306" s="113"/>
      <c r="I306" s="113"/>
      <c r="J306" s="113"/>
      <c r="K306" s="113"/>
      <c r="L306" s="115"/>
    </row>
    <row r="307" spans="2:12" s="112" customFormat="1" ht="12.75" x14ac:dyDescent="0.2">
      <c r="B307" s="113"/>
      <c r="C307" s="113"/>
      <c r="D307" s="114"/>
      <c r="E307" s="113"/>
      <c r="F307" s="113"/>
      <c r="G307" s="113"/>
      <c r="H307" s="113"/>
      <c r="I307" s="113"/>
      <c r="J307" s="113"/>
      <c r="K307" s="113"/>
      <c r="L307" s="115"/>
    </row>
    <row r="308" spans="2:12" s="112" customFormat="1" ht="12.75" x14ac:dyDescent="0.2">
      <c r="B308" s="113"/>
      <c r="C308" s="113"/>
      <c r="D308" s="114"/>
      <c r="E308" s="113"/>
      <c r="F308" s="113"/>
      <c r="G308" s="113"/>
      <c r="H308" s="113"/>
      <c r="I308" s="113"/>
      <c r="J308" s="113"/>
      <c r="K308" s="113"/>
      <c r="L308" s="115"/>
    </row>
    <row r="309" spans="2:12" s="112" customFormat="1" ht="12.75" x14ac:dyDescent="0.2">
      <c r="B309" s="113"/>
      <c r="C309" s="113"/>
      <c r="D309" s="114"/>
      <c r="E309" s="113"/>
      <c r="F309" s="113"/>
      <c r="G309" s="113"/>
      <c r="H309" s="113"/>
      <c r="I309" s="113"/>
      <c r="J309" s="113"/>
      <c r="K309" s="113"/>
      <c r="L309" s="115"/>
    </row>
    <row r="310" spans="2:12" s="112" customFormat="1" ht="12.75" x14ac:dyDescent="0.2">
      <c r="B310" s="113"/>
      <c r="C310" s="113"/>
      <c r="D310" s="114"/>
      <c r="E310" s="113"/>
      <c r="F310" s="113"/>
      <c r="G310" s="113"/>
      <c r="H310" s="113"/>
      <c r="I310" s="113"/>
      <c r="J310" s="113"/>
      <c r="K310" s="113"/>
      <c r="L310" s="115"/>
    </row>
    <row r="311" spans="2:12" s="112" customFormat="1" ht="12.75" x14ac:dyDescent="0.2">
      <c r="B311" s="113"/>
      <c r="C311" s="113"/>
      <c r="D311" s="114"/>
      <c r="E311" s="113"/>
      <c r="F311" s="113"/>
      <c r="G311" s="113"/>
      <c r="H311" s="113"/>
      <c r="I311" s="113"/>
      <c r="J311" s="113"/>
      <c r="K311" s="113"/>
      <c r="L311" s="115"/>
    </row>
    <row r="312" spans="2:12" s="112" customFormat="1" ht="12.75" x14ac:dyDescent="0.2">
      <c r="B312" s="113"/>
      <c r="C312" s="113"/>
      <c r="D312" s="114"/>
      <c r="E312" s="113"/>
      <c r="F312" s="113"/>
      <c r="G312" s="113"/>
      <c r="H312" s="113"/>
      <c r="I312" s="113"/>
      <c r="J312" s="113"/>
      <c r="K312" s="113"/>
      <c r="L312" s="115"/>
    </row>
    <row r="313" spans="2:12" s="112" customFormat="1" ht="12.75" x14ac:dyDescent="0.2">
      <c r="B313" s="113"/>
      <c r="C313" s="113"/>
      <c r="D313" s="114"/>
      <c r="E313" s="113"/>
      <c r="F313" s="113"/>
      <c r="G313" s="113"/>
      <c r="H313" s="113"/>
      <c r="I313" s="113"/>
      <c r="J313" s="113"/>
      <c r="K313" s="113"/>
      <c r="L313" s="115"/>
    </row>
    <row r="314" spans="2:12" s="112" customFormat="1" ht="12.75" x14ac:dyDescent="0.2">
      <c r="B314" s="113"/>
      <c r="C314" s="113"/>
      <c r="D314" s="114"/>
      <c r="E314" s="113"/>
      <c r="F314" s="113"/>
      <c r="G314" s="113"/>
      <c r="H314" s="113"/>
      <c r="I314" s="113"/>
      <c r="J314" s="113"/>
      <c r="K314" s="113"/>
      <c r="L314" s="115"/>
    </row>
    <row r="315" spans="2:12" s="112" customFormat="1" ht="12.75" x14ac:dyDescent="0.2">
      <c r="B315" s="113"/>
      <c r="C315" s="113"/>
      <c r="D315" s="114"/>
      <c r="E315" s="113"/>
      <c r="F315" s="113"/>
      <c r="G315" s="113"/>
      <c r="H315" s="113"/>
      <c r="I315" s="113"/>
      <c r="J315" s="113"/>
      <c r="K315" s="113"/>
      <c r="L315" s="115"/>
    </row>
    <row r="316" spans="2:12" s="112" customFormat="1" ht="12.75" x14ac:dyDescent="0.2">
      <c r="B316" s="113"/>
      <c r="C316" s="113"/>
      <c r="D316" s="114"/>
      <c r="E316" s="113"/>
      <c r="F316" s="113"/>
      <c r="G316" s="113"/>
      <c r="H316" s="113"/>
      <c r="I316" s="113"/>
      <c r="J316" s="113"/>
      <c r="K316" s="113"/>
      <c r="L316" s="115"/>
    </row>
    <row r="317" spans="2:12" s="112" customFormat="1" ht="12.75" x14ac:dyDescent="0.2">
      <c r="B317" s="113"/>
      <c r="C317" s="113"/>
      <c r="D317" s="114"/>
      <c r="E317" s="113"/>
      <c r="F317" s="113"/>
      <c r="G317" s="113"/>
      <c r="H317" s="113"/>
      <c r="I317" s="113"/>
      <c r="J317" s="113"/>
      <c r="K317" s="113"/>
      <c r="L317" s="115"/>
    </row>
    <row r="318" spans="2:12" s="112" customFormat="1" ht="12.75" x14ac:dyDescent="0.2">
      <c r="B318" s="113"/>
      <c r="C318" s="113"/>
      <c r="D318" s="114"/>
      <c r="E318" s="113"/>
      <c r="F318" s="113"/>
      <c r="G318" s="113"/>
      <c r="H318" s="113"/>
      <c r="I318" s="113"/>
      <c r="J318" s="113"/>
      <c r="K318" s="113"/>
      <c r="L318" s="115"/>
    </row>
    <row r="319" spans="2:12" s="112" customFormat="1" ht="12.75" x14ac:dyDescent="0.2">
      <c r="B319" s="113"/>
      <c r="C319" s="113"/>
      <c r="D319" s="114"/>
      <c r="E319" s="113"/>
      <c r="F319" s="113"/>
      <c r="G319" s="113"/>
      <c r="H319" s="113"/>
      <c r="I319" s="113"/>
      <c r="J319" s="113"/>
      <c r="K319" s="113"/>
      <c r="L319" s="115"/>
    </row>
    <row r="320" spans="2:12" s="112" customFormat="1" ht="12.75" x14ac:dyDescent="0.2">
      <c r="B320" s="113"/>
      <c r="C320" s="113"/>
      <c r="D320" s="114"/>
      <c r="E320" s="113"/>
      <c r="F320" s="113"/>
      <c r="G320" s="113"/>
      <c r="H320" s="113"/>
      <c r="I320" s="113"/>
      <c r="J320" s="113"/>
      <c r="K320" s="113"/>
      <c r="L320" s="115"/>
    </row>
    <row r="321" spans="2:12" s="112" customFormat="1" ht="12.75" x14ac:dyDescent="0.2">
      <c r="B321" s="113"/>
      <c r="C321" s="113"/>
      <c r="D321" s="114"/>
      <c r="E321" s="113"/>
      <c r="F321" s="113"/>
      <c r="G321" s="113"/>
      <c r="H321" s="113"/>
      <c r="I321" s="113"/>
      <c r="J321" s="113"/>
      <c r="K321" s="113"/>
      <c r="L321" s="115"/>
    </row>
    <row r="322" spans="2:12" s="112" customFormat="1" ht="12.75" x14ac:dyDescent="0.2">
      <c r="B322" s="113"/>
      <c r="C322" s="113"/>
      <c r="D322" s="114"/>
      <c r="E322" s="113"/>
      <c r="F322" s="113"/>
      <c r="G322" s="113"/>
      <c r="H322" s="113"/>
      <c r="I322" s="113"/>
      <c r="J322" s="113"/>
      <c r="K322" s="113"/>
      <c r="L322" s="115"/>
    </row>
    <row r="323" spans="2:12" s="112" customFormat="1" ht="12.75" x14ac:dyDescent="0.2">
      <c r="B323" s="113"/>
      <c r="C323" s="113"/>
      <c r="D323" s="114"/>
      <c r="E323" s="113"/>
      <c r="F323" s="113"/>
      <c r="G323" s="113"/>
      <c r="H323" s="113"/>
      <c r="I323" s="113"/>
      <c r="J323" s="113"/>
      <c r="K323" s="113"/>
      <c r="L323" s="115"/>
    </row>
    <row r="324" spans="2:12" s="112" customFormat="1" ht="12.75" x14ac:dyDescent="0.2">
      <c r="B324" s="113"/>
      <c r="C324" s="113"/>
      <c r="D324" s="114"/>
      <c r="E324" s="113"/>
      <c r="F324" s="113"/>
      <c r="G324" s="113"/>
      <c r="H324" s="113"/>
      <c r="I324" s="113"/>
      <c r="J324" s="113"/>
      <c r="K324" s="113"/>
      <c r="L324" s="115"/>
    </row>
    <row r="325" spans="2:12" s="112" customFormat="1" ht="12.75" x14ac:dyDescent="0.2">
      <c r="B325" s="113"/>
      <c r="C325" s="113"/>
      <c r="D325" s="114"/>
      <c r="E325" s="113"/>
      <c r="F325" s="113"/>
      <c r="G325" s="113"/>
      <c r="H325" s="113"/>
      <c r="I325" s="113"/>
      <c r="J325" s="113"/>
      <c r="K325" s="113"/>
      <c r="L325" s="115"/>
    </row>
    <row r="326" spans="2:12" s="112" customFormat="1" ht="12.75" x14ac:dyDescent="0.2">
      <c r="B326" s="113"/>
      <c r="C326" s="113"/>
      <c r="D326" s="114"/>
      <c r="E326" s="113"/>
      <c r="F326" s="113"/>
      <c r="G326" s="113"/>
      <c r="H326" s="113"/>
      <c r="I326" s="113"/>
      <c r="J326" s="113"/>
      <c r="K326" s="113"/>
      <c r="L326" s="115"/>
    </row>
    <row r="327" spans="2:12" s="112" customFormat="1" ht="12.75" x14ac:dyDescent="0.2">
      <c r="B327" s="113"/>
      <c r="C327" s="113"/>
      <c r="D327" s="114"/>
      <c r="E327" s="113"/>
      <c r="F327" s="113"/>
      <c r="G327" s="113"/>
      <c r="H327" s="113"/>
      <c r="I327" s="113"/>
      <c r="J327" s="113"/>
      <c r="K327" s="113"/>
      <c r="L327" s="115"/>
    </row>
    <row r="328" spans="2:12" s="112" customFormat="1" ht="12.75" x14ac:dyDescent="0.2">
      <c r="B328" s="113"/>
      <c r="C328" s="113"/>
      <c r="D328" s="114"/>
      <c r="E328" s="113"/>
      <c r="F328" s="113"/>
      <c r="G328" s="113"/>
      <c r="H328" s="113"/>
      <c r="I328" s="113"/>
      <c r="J328" s="113"/>
      <c r="K328" s="113"/>
      <c r="L328" s="115"/>
    </row>
    <row r="329" spans="2:12" s="112" customFormat="1" ht="12.75" x14ac:dyDescent="0.2">
      <c r="B329" s="113"/>
      <c r="C329" s="113"/>
      <c r="D329" s="114"/>
      <c r="E329" s="113"/>
      <c r="F329" s="113"/>
      <c r="G329" s="113"/>
      <c r="H329" s="113"/>
      <c r="I329" s="113"/>
      <c r="J329" s="113"/>
      <c r="K329" s="113"/>
      <c r="L329" s="115"/>
    </row>
    <row r="330" spans="2:12" s="112" customFormat="1" ht="12.75" x14ac:dyDescent="0.2">
      <c r="B330" s="113"/>
      <c r="C330" s="113"/>
      <c r="D330" s="114"/>
      <c r="E330" s="113"/>
      <c r="F330" s="113"/>
      <c r="G330" s="113"/>
      <c r="H330" s="113"/>
      <c r="I330" s="113"/>
      <c r="J330" s="113"/>
      <c r="K330" s="113"/>
      <c r="L330" s="115"/>
    </row>
    <row r="331" spans="2:12" s="112" customFormat="1" ht="12.75" x14ac:dyDescent="0.2">
      <c r="B331" s="113"/>
      <c r="C331" s="113"/>
      <c r="D331" s="114"/>
      <c r="E331" s="113"/>
      <c r="F331" s="113"/>
      <c r="G331" s="113"/>
      <c r="H331" s="113"/>
      <c r="I331" s="113"/>
      <c r="J331" s="113"/>
      <c r="K331" s="113"/>
      <c r="L331" s="115"/>
    </row>
    <row r="332" spans="2:12" s="112" customFormat="1" ht="12.75" x14ac:dyDescent="0.2">
      <c r="B332" s="113"/>
      <c r="C332" s="113"/>
      <c r="D332" s="114"/>
      <c r="E332" s="113"/>
      <c r="F332" s="113"/>
      <c r="G332" s="113"/>
      <c r="H332" s="113"/>
      <c r="I332" s="113"/>
      <c r="J332" s="113"/>
      <c r="K332" s="113"/>
      <c r="L332" s="115"/>
    </row>
    <row r="333" spans="2:12" s="112" customFormat="1" ht="12.75" x14ac:dyDescent="0.2">
      <c r="B333" s="113"/>
      <c r="C333" s="113"/>
      <c r="D333" s="114"/>
      <c r="E333" s="113"/>
      <c r="F333" s="113"/>
      <c r="G333" s="113"/>
      <c r="H333" s="113"/>
      <c r="I333" s="113"/>
      <c r="J333" s="113"/>
      <c r="K333" s="113"/>
      <c r="L333" s="115"/>
    </row>
    <row r="334" spans="2:12" s="112" customFormat="1" ht="12.75" x14ac:dyDescent="0.2">
      <c r="B334" s="113"/>
      <c r="C334" s="113"/>
      <c r="D334" s="114"/>
      <c r="E334" s="113"/>
      <c r="F334" s="113"/>
      <c r="G334" s="113"/>
      <c r="H334" s="113"/>
      <c r="I334" s="113"/>
      <c r="J334" s="113"/>
      <c r="K334" s="113"/>
      <c r="L334" s="115"/>
    </row>
    <row r="335" spans="2:12" s="112" customFormat="1" ht="12.75" x14ac:dyDescent="0.2">
      <c r="B335" s="113"/>
      <c r="C335" s="113"/>
      <c r="D335" s="114"/>
      <c r="E335" s="113"/>
      <c r="F335" s="113"/>
      <c r="G335" s="113"/>
      <c r="H335" s="113"/>
      <c r="I335" s="113"/>
      <c r="J335" s="113"/>
      <c r="K335" s="113"/>
      <c r="L335" s="115"/>
    </row>
    <row r="336" spans="2:12" s="112" customFormat="1" ht="12.75" x14ac:dyDescent="0.2">
      <c r="B336" s="113"/>
      <c r="C336" s="113"/>
      <c r="D336" s="114"/>
      <c r="E336" s="113"/>
      <c r="F336" s="113"/>
      <c r="G336" s="113"/>
      <c r="H336" s="113"/>
      <c r="I336" s="113"/>
      <c r="J336" s="113"/>
      <c r="K336" s="113"/>
      <c r="L336" s="115"/>
    </row>
    <row r="337" spans="2:12" s="112" customFormat="1" ht="12.75" x14ac:dyDescent="0.2">
      <c r="B337" s="113"/>
      <c r="C337" s="113"/>
      <c r="D337" s="114"/>
      <c r="E337" s="113"/>
      <c r="F337" s="113"/>
      <c r="G337" s="113"/>
      <c r="H337" s="113"/>
      <c r="I337" s="113"/>
      <c r="J337" s="113"/>
      <c r="K337" s="113"/>
      <c r="L337" s="115"/>
    </row>
    <row r="338" spans="2:12" s="112" customFormat="1" ht="12.75" x14ac:dyDescent="0.2">
      <c r="B338" s="113"/>
      <c r="C338" s="113"/>
      <c r="D338" s="114"/>
      <c r="E338" s="113"/>
      <c r="F338" s="113"/>
      <c r="G338" s="113"/>
      <c r="H338" s="113"/>
      <c r="I338" s="113"/>
      <c r="J338" s="113"/>
      <c r="K338" s="113"/>
      <c r="L338" s="115"/>
    </row>
    <row r="339" spans="2:12" s="112" customFormat="1" ht="12.75" x14ac:dyDescent="0.2">
      <c r="B339" s="113"/>
      <c r="C339" s="113"/>
      <c r="D339" s="114"/>
      <c r="E339" s="113"/>
      <c r="F339" s="113"/>
      <c r="G339" s="113"/>
      <c r="H339" s="113"/>
      <c r="I339" s="113"/>
      <c r="J339" s="113"/>
      <c r="K339" s="113"/>
      <c r="L339" s="115"/>
    </row>
    <row r="340" spans="2:12" s="112" customFormat="1" ht="12.75" x14ac:dyDescent="0.2">
      <c r="B340" s="113"/>
      <c r="C340" s="113"/>
      <c r="D340" s="114"/>
      <c r="E340" s="113"/>
      <c r="F340" s="113"/>
      <c r="G340" s="113"/>
      <c r="H340" s="113"/>
      <c r="I340" s="113"/>
      <c r="J340" s="113"/>
      <c r="K340" s="113"/>
      <c r="L340" s="115"/>
    </row>
    <row r="341" spans="2:12" s="112" customFormat="1" ht="12.75" x14ac:dyDescent="0.2">
      <c r="B341" s="113"/>
      <c r="C341" s="113"/>
      <c r="D341" s="114"/>
      <c r="E341" s="113"/>
      <c r="F341" s="113"/>
      <c r="G341" s="113"/>
      <c r="H341" s="113"/>
      <c r="I341" s="113"/>
      <c r="J341" s="113"/>
      <c r="K341" s="113"/>
      <c r="L341" s="115"/>
    </row>
    <row r="342" spans="2:12" s="112" customFormat="1" ht="12.75" x14ac:dyDescent="0.2">
      <c r="B342" s="113"/>
      <c r="C342" s="113"/>
      <c r="D342" s="114"/>
      <c r="E342" s="113"/>
      <c r="F342" s="113"/>
      <c r="G342" s="113"/>
      <c r="H342" s="113"/>
      <c r="I342" s="113"/>
      <c r="J342" s="113"/>
      <c r="K342" s="113"/>
      <c r="L342" s="115"/>
    </row>
    <row r="343" spans="2:12" s="112" customFormat="1" ht="12.75" x14ac:dyDescent="0.2">
      <c r="B343" s="113"/>
      <c r="C343" s="113"/>
      <c r="D343" s="114"/>
      <c r="E343" s="113"/>
      <c r="F343" s="113"/>
      <c r="G343" s="113"/>
      <c r="H343" s="113"/>
      <c r="I343" s="113"/>
      <c r="J343" s="113"/>
      <c r="K343" s="113"/>
      <c r="L343" s="115"/>
    </row>
    <row r="344" spans="2:12" s="112" customFormat="1" ht="12.75" x14ac:dyDescent="0.2">
      <c r="B344" s="113"/>
      <c r="C344" s="113"/>
      <c r="D344" s="114"/>
      <c r="E344" s="113"/>
      <c r="F344" s="113"/>
      <c r="G344" s="113"/>
      <c r="H344" s="113"/>
      <c r="I344" s="113"/>
      <c r="J344" s="113"/>
      <c r="K344" s="113"/>
      <c r="L344" s="115"/>
    </row>
    <row r="345" spans="2:12" s="112" customFormat="1" ht="12.75" x14ac:dyDescent="0.2">
      <c r="B345" s="113"/>
      <c r="C345" s="113"/>
      <c r="D345" s="114"/>
      <c r="E345" s="113"/>
      <c r="F345" s="113"/>
      <c r="G345" s="113"/>
      <c r="H345" s="113"/>
      <c r="I345" s="113"/>
      <c r="J345" s="113"/>
      <c r="K345" s="113"/>
      <c r="L345" s="115"/>
    </row>
    <row r="346" spans="2:12" s="112" customFormat="1" ht="12.75" x14ac:dyDescent="0.2">
      <c r="B346" s="113"/>
      <c r="C346" s="113"/>
      <c r="D346" s="114"/>
      <c r="E346" s="113"/>
      <c r="F346" s="113"/>
      <c r="G346" s="113"/>
      <c r="H346" s="113"/>
      <c r="I346" s="113"/>
      <c r="J346" s="113"/>
      <c r="K346" s="113"/>
      <c r="L346" s="115"/>
    </row>
    <row r="347" spans="2:12" s="112" customFormat="1" ht="12.75" x14ac:dyDescent="0.2">
      <c r="B347" s="113"/>
      <c r="C347" s="113"/>
      <c r="D347" s="114"/>
      <c r="E347" s="113"/>
      <c r="F347" s="113"/>
      <c r="G347" s="113"/>
      <c r="H347" s="113"/>
      <c r="I347" s="113"/>
      <c r="J347" s="113"/>
      <c r="K347" s="113"/>
      <c r="L347" s="115"/>
    </row>
    <row r="348" spans="2:12" s="112" customFormat="1" ht="12.75" x14ac:dyDescent="0.2">
      <c r="B348" s="113"/>
      <c r="C348" s="113"/>
      <c r="D348" s="114"/>
      <c r="E348" s="113"/>
      <c r="F348" s="113"/>
      <c r="G348" s="113"/>
      <c r="H348" s="113"/>
      <c r="I348" s="113"/>
      <c r="J348" s="113"/>
      <c r="K348" s="113"/>
      <c r="L348" s="115"/>
    </row>
    <row r="349" spans="2:12" s="112" customFormat="1" ht="12.75" x14ac:dyDescent="0.2">
      <c r="B349" s="113"/>
      <c r="C349" s="113"/>
      <c r="D349" s="114"/>
      <c r="E349" s="113"/>
      <c r="F349" s="113"/>
      <c r="G349" s="113"/>
      <c r="H349" s="113"/>
      <c r="I349" s="113"/>
      <c r="J349" s="113"/>
      <c r="K349" s="113"/>
      <c r="L349" s="115"/>
    </row>
    <row r="350" spans="2:12" s="112" customFormat="1" ht="12.75" x14ac:dyDescent="0.2">
      <c r="B350" s="113"/>
      <c r="C350" s="113"/>
      <c r="D350" s="114"/>
      <c r="E350" s="113"/>
      <c r="F350" s="113"/>
      <c r="G350" s="113"/>
      <c r="H350" s="113"/>
      <c r="I350" s="113"/>
      <c r="J350" s="113"/>
      <c r="K350" s="113"/>
      <c r="L350" s="115"/>
    </row>
    <row r="351" spans="2:12" s="112" customFormat="1" ht="12.75" x14ac:dyDescent="0.2">
      <c r="B351" s="113"/>
      <c r="C351" s="113"/>
      <c r="D351" s="114"/>
      <c r="E351" s="113"/>
      <c r="F351" s="113"/>
      <c r="G351" s="113"/>
      <c r="H351" s="113"/>
      <c r="I351" s="113"/>
      <c r="J351" s="113"/>
      <c r="K351" s="113"/>
      <c r="L351" s="115"/>
    </row>
    <row r="352" spans="2:12" s="112" customFormat="1" ht="12.75" x14ac:dyDescent="0.2">
      <c r="B352" s="113"/>
      <c r="C352" s="113"/>
      <c r="D352" s="114"/>
      <c r="E352" s="113"/>
      <c r="F352" s="113"/>
      <c r="G352" s="113"/>
      <c r="H352" s="113"/>
      <c r="I352" s="113"/>
      <c r="J352" s="113"/>
      <c r="K352" s="113"/>
      <c r="L352" s="115"/>
    </row>
    <row r="353" spans="2:12" s="112" customFormat="1" ht="12.75" x14ac:dyDescent="0.2">
      <c r="B353" s="113"/>
      <c r="C353" s="113"/>
      <c r="D353" s="114"/>
      <c r="E353" s="113"/>
      <c r="F353" s="113"/>
      <c r="G353" s="113"/>
      <c r="H353" s="113"/>
      <c r="I353" s="113"/>
      <c r="J353" s="113"/>
      <c r="K353" s="113"/>
      <c r="L353" s="115"/>
    </row>
    <row r="354" spans="2:12" s="112" customFormat="1" ht="12.75" x14ac:dyDescent="0.2">
      <c r="B354" s="113"/>
      <c r="C354" s="113"/>
      <c r="D354" s="114"/>
      <c r="E354" s="113"/>
      <c r="F354" s="113"/>
      <c r="G354" s="113"/>
      <c r="H354" s="113"/>
      <c r="I354" s="113"/>
      <c r="J354" s="113"/>
      <c r="K354" s="113"/>
      <c r="L354" s="115"/>
    </row>
    <row r="355" spans="2:12" s="112" customFormat="1" ht="12.75" x14ac:dyDescent="0.2">
      <c r="B355" s="113"/>
      <c r="C355" s="113"/>
      <c r="D355" s="114"/>
      <c r="E355" s="113"/>
      <c r="F355" s="113"/>
      <c r="G355" s="113"/>
      <c r="H355" s="113"/>
      <c r="I355" s="113"/>
      <c r="J355" s="113"/>
      <c r="K355" s="113"/>
      <c r="L355" s="115"/>
    </row>
    <row r="356" spans="2:12" s="112" customFormat="1" ht="12.75" x14ac:dyDescent="0.2">
      <c r="B356" s="113"/>
      <c r="C356" s="113"/>
      <c r="D356" s="114"/>
      <c r="E356" s="113"/>
      <c r="F356" s="113"/>
      <c r="G356" s="113"/>
      <c r="H356" s="113"/>
      <c r="I356" s="113"/>
      <c r="J356" s="113"/>
      <c r="K356" s="113"/>
      <c r="L356" s="115"/>
    </row>
    <row r="357" spans="2:12" s="112" customFormat="1" ht="12.75" x14ac:dyDescent="0.2">
      <c r="B357" s="113"/>
      <c r="C357" s="113"/>
      <c r="D357" s="114"/>
      <c r="E357" s="113"/>
      <c r="F357" s="113"/>
      <c r="G357" s="113"/>
      <c r="H357" s="113"/>
      <c r="I357" s="113"/>
      <c r="J357" s="113"/>
      <c r="K357" s="113"/>
      <c r="L357" s="115"/>
    </row>
    <row r="358" spans="2:12" s="112" customFormat="1" ht="12.75" x14ac:dyDescent="0.2">
      <c r="B358" s="113"/>
      <c r="C358" s="113"/>
      <c r="D358" s="114"/>
      <c r="E358" s="113"/>
      <c r="F358" s="113"/>
      <c r="G358" s="113"/>
      <c r="H358" s="113"/>
      <c r="I358" s="113"/>
      <c r="J358" s="113"/>
      <c r="K358" s="113"/>
      <c r="L358" s="115"/>
    </row>
    <row r="359" spans="2:12" s="112" customFormat="1" ht="12.75" x14ac:dyDescent="0.2">
      <c r="B359" s="113"/>
      <c r="C359" s="113"/>
      <c r="D359" s="114"/>
      <c r="E359" s="113"/>
      <c r="F359" s="113"/>
      <c r="G359" s="113"/>
      <c r="H359" s="113"/>
      <c r="I359" s="113"/>
      <c r="J359" s="113"/>
      <c r="K359" s="113"/>
      <c r="L359" s="115"/>
    </row>
    <row r="360" spans="2:12" s="112" customFormat="1" ht="12.75" x14ac:dyDescent="0.2">
      <c r="B360" s="113"/>
      <c r="C360" s="113"/>
      <c r="D360" s="114"/>
      <c r="E360" s="113"/>
      <c r="F360" s="113"/>
      <c r="G360" s="113"/>
      <c r="H360" s="113"/>
      <c r="I360" s="113"/>
      <c r="J360" s="113"/>
      <c r="K360" s="113"/>
      <c r="L360" s="115"/>
    </row>
    <row r="361" spans="2:12" s="112" customFormat="1" ht="12.75" x14ac:dyDescent="0.2">
      <c r="B361" s="113"/>
      <c r="C361" s="113"/>
      <c r="D361" s="114"/>
      <c r="E361" s="113"/>
      <c r="F361" s="113"/>
      <c r="G361" s="113"/>
      <c r="H361" s="113"/>
      <c r="I361" s="113"/>
      <c r="J361" s="113"/>
      <c r="K361" s="113"/>
      <c r="L361" s="115"/>
    </row>
    <row r="362" spans="2:12" s="112" customFormat="1" ht="12.75" x14ac:dyDescent="0.2">
      <c r="B362" s="113"/>
      <c r="C362" s="113"/>
      <c r="D362" s="114"/>
      <c r="E362" s="113"/>
      <c r="F362" s="113"/>
      <c r="G362" s="113"/>
      <c r="H362" s="113"/>
      <c r="I362" s="113"/>
      <c r="J362" s="113"/>
      <c r="K362" s="113"/>
      <c r="L362" s="115"/>
    </row>
    <row r="363" spans="2:12" s="112" customFormat="1" ht="12.75" x14ac:dyDescent="0.2">
      <c r="B363" s="113"/>
      <c r="C363" s="113"/>
      <c r="D363" s="114"/>
      <c r="E363" s="113"/>
      <c r="F363" s="113"/>
      <c r="G363" s="113"/>
      <c r="H363" s="113"/>
      <c r="I363" s="113"/>
      <c r="J363" s="113"/>
      <c r="K363" s="113"/>
      <c r="L363" s="115"/>
    </row>
    <row r="364" spans="2:12" s="112" customFormat="1" ht="12.75" x14ac:dyDescent="0.2">
      <c r="B364" s="113"/>
      <c r="C364" s="113"/>
      <c r="D364" s="114"/>
      <c r="E364" s="113"/>
      <c r="F364" s="113"/>
      <c r="G364" s="113"/>
      <c r="H364" s="113"/>
      <c r="I364" s="113"/>
      <c r="J364" s="113"/>
      <c r="K364" s="113"/>
      <c r="L364" s="115"/>
    </row>
    <row r="365" spans="2:12" s="112" customFormat="1" ht="12.75" x14ac:dyDescent="0.2">
      <c r="B365" s="113"/>
      <c r="C365" s="113"/>
      <c r="D365" s="114"/>
      <c r="E365" s="113"/>
      <c r="F365" s="113"/>
      <c r="G365" s="113"/>
      <c r="H365" s="113"/>
      <c r="I365" s="113"/>
      <c r="J365" s="113"/>
      <c r="K365" s="113"/>
      <c r="L365" s="115"/>
    </row>
    <row r="366" spans="2:12" s="112" customFormat="1" ht="12.75" x14ac:dyDescent="0.2">
      <c r="B366" s="113"/>
      <c r="C366" s="113"/>
      <c r="D366" s="114"/>
      <c r="E366" s="113"/>
      <c r="F366" s="113"/>
      <c r="G366" s="113"/>
      <c r="H366" s="113"/>
      <c r="I366" s="113"/>
      <c r="J366" s="113"/>
      <c r="K366" s="113"/>
      <c r="L366" s="115"/>
    </row>
    <row r="367" spans="2:12" s="112" customFormat="1" ht="12.75" x14ac:dyDescent="0.2">
      <c r="B367" s="113"/>
      <c r="C367" s="113"/>
      <c r="D367" s="114"/>
      <c r="E367" s="113"/>
      <c r="F367" s="113"/>
      <c r="G367" s="113"/>
      <c r="H367" s="113"/>
      <c r="I367" s="113"/>
      <c r="J367" s="113"/>
      <c r="K367" s="113"/>
      <c r="L367" s="115"/>
    </row>
    <row r="368" spans="2:12" s="112" customFormat="1" ht="12.75" x14ac:dyDescent="0.2">
      <c r="B368" s="113"/>
      <c r="C368" s="113"/>
      <c r="D368" s="114"/>
      <c r="E368" s="113"/>
      <c r="F368" s="113"/>
      <c r="G368" s="113"/>
      <c r="H368" s="113"/>
      <c r="I368" s="113"/>
      <c r="J368" s="113"/>
      <c r="K368" s="113"/>
      <c r="L368" s="115"/>
    </row>
    <row r="369" spans="2:12" s="112" customFormat="1" ht="12.75" x14ac:dyDescent="0.2">
      <c r="B369" s="113"/>
      <c r="C369" s="113"/>
      <c r="D369" s="114"/>
      <c r="E369" s="113"/>
      <c r="F369" s="113"/>
      <c r="G369" s="113"/>
      <c r="H369" s="113"/>
      <c r="I369" s="113"/>
      <c r="J369" s="113"/>
      <c r="K369" s="113"/>
      <c r="L369" s="115"/>
    </row>
    <row r="370" spans="2:12" s="112" customFormat="1" ht="12.75" x14ac:dyDescent="0.2">
      <c r="B370" s="113"/>
      <c r="C370" s="113"/>
      <c r="D370" s="114"/>
      <c r="E370" s="113"/>
      <c r="F370" s="113"/>
      <c r="G370" s="113"/>
      <c r="H370" s="113"/>
      <c r="I370" s="113"/>
      <c r="J370" s="113"/>
      <c r="K370" s="113"/>
      <c r="L370" s="115"/>
    </row>
    <row r="371" spans="2:12" s="112" customFormat="1" ht="12.75" x14ac:dyDescent="0.2">
      <c r="B371" s="113"/>
      <c r="C371" s="113"/>
      <c r="D371" s="114"/>
      <c r="E371" s="113"/>
      <c r="F371" s="113"/>
      <c r="G371" s="113"/>
      <c r="H371" s="113"/>
      <c r="I371" s="113"/>
      <c r="J371" s="113"/>
      <c r="K371" s="113"/>
      <c r="L371" s="115"/>
    </row>
    <row r="372" spans="2:12" s="112" customFormat="1" ht="12.75" x14ac:dyDescent="0.2">
      <c r="B372" s="113"/>
      <c r="C372" s="113"/>
      <c r="D372" s="114"/>
      <c r="E372" s="113"/>
      <c r="F372" s="113"/>
      <c r="G372" s="113"/>
      <c r="H372" s="113"/>
      <c r="I372" s="113"/>
      <c r="J372" s="113"/>
      <c r="K372" s="113"/>
      <c r="L372" s="115"/>
    </row>
    <row r="373" spans="2:12" s="112" customFormat="1" ht="12.75" x14ac:dyDescent="0.2">
      <c r="B373" s="113"/>
      <c r="C373" s="113"/>
      <c r="D373" s="114"/>
      <c r="E373" s="113"/>
      <c r="F373" s="113"/>
      <c r="G373" s="113"/>
      <c r="H373" s="113"/>
      <c r="I373" s="113"/>
      <c r="J373" s="113"/>
      <c r="K373" s="113"/>
      <c r="L373" s="115"/>
    </row>
    <row r="374" spans="2:12" s="112" customFormat="1" ht="12.75" x14ac:dyDescent="0.2">
      <c r="B374" s="113"/>
      <c r="C374" s="113"/>
      <c r="D374" s="114"/>
      <c r="E374" s="113"/>
      <c r="F374" s="113"/>
      <c r="G374" s="113"/>
      <c r="H374" s="113"/>
      <c r="I374" s="113"/>
      <c r="J374" s="113"/>
      <c r="K374" s="113"/>
      <c r="L374" s="115"/>
    </row>
    <row r="375" spans="2:12" s="112" customFormat="1" ht="12.75" x14ac:dyDescent="0.2">
      <c r="B375" s="113"/>
      <c r="C375" s="113"/>
      <c r="D375" s="114"/>
      <c r="E375" s="113"/>
      <c r="F375" s="113"/>
      <c r="G375" s="113"/>
      <c r="H375" s="113"/>
      <c r="I375" s="113"/>
      <c r="J375" s="113"/>
      <c r="K375" s="113"/>
      <c r="L375" s="115"/>
    </row>
    <row r="376" spans="2:12" s="112" customFormat="1" ht="12.75" x14ac:dyDescent="0.2">
      <c r="B376" s="113"/>
      <c r="C376" s="113"/>
      <c r="D376" s="114"/>
      <c r="E376" s="113"/>
      <c r="F376" s="113"/>
      <c r="G376" s="113"/>
      <c r="H376" s="113"/>
      <c r="I376" s="113"/>
      <c r="J376" s="113"/>
      <c r="K376" s="113"/>
      <c r="L376" s="115"/>
    </row>
    <row r="377" spans="2:12" s="112" customFormat="1" ht="12.75" x14ac:dyDescent="0.2">
      <c r="B377" s="113"/>
      <c r="C377" s="113"/>
      <c r="D377" s="114"/>
      <c r="E377" s="113"/>
      <c r="F377" s="113"/>
      <c r="G377" s="113"/>
      <c r="H377" s="113"/>
      <c r="I377" s="113"/>
      <c r="J377" s="113"/>
      <c r="K377" s="113"/>
      <c r="L377" s="115"/>
    </row>
    <row r="378" spans="2:12" s="112" customFormat="1" ht="12.75" x14ac:dyDescent="0.2">
      <c r="B378" s="113"/>
      <c r="C378" s="113"/>
      <c r="D378" s="114"/>
      <c r="E378" s="113"/>
      <c r="F378" s="113"/>
      <c r="G378" s="113"/>
      <c r="H378" s="113"/>
      <c r="I378" s="113"/>
      <c r="J378" s="113"/>
      <c r="K378" s="113"/>
      <c r="L378" s="115"/>
    </row>
    <row r="379" spans="2:12" s="112" customFormat="1" ht="12.75" x14ac:dyDescent="0.2">
      <c r="B379" s="113"/>
      <c r="C379" s="113"/>
      <c r="D379" s="114"/>
      <c r="E379" s="113"/>
      <c r="F379" s="113"/>
      <c r="G379" s="113"/>
      <c r="H379" s="113"/>
      <c r="I379" s="113"/>
      <c r="J379" s="113"/>
      <c r="K379" s="113"/>
      <c r="L379" s="115"/>
    </row>
    <row r="380" spans="2:12" s="112" customFormat="1" ht="12.75" x14ac:dyDescent="0.2">
      <c r="B380" s="113"/>
      <c r="C380" s="113"/>
      <c r="D380" s="114"/>
      <c r="E380" s="113"/>
      <c r="F380" s="113"/>
      <c r="G380" s="113"/>
      <c r="H380" s="113"/>
      <c r="I380" s="113"/>
      <c r="J380" s="113"/>
      <c r="K380" s="113"/>
      <c r="L380" s="115"/>
    </row>
    <row r="381" spans="2:12" s="112" customFormat="1" ht="12.75" x14ac:dyDescent="0.2">
      <c r="B381" s="113"/>
      <c r="C381" s="113"/>
      <c r="D381" s="114"/>
      <c r="E381" s="113"/>
      <c r="F381" s="113"/>
      <c r="G381" s="113"/>
      <c r="H381" s="113"/>
      <c r="I381" s="113"/>
      <c r="J381" s="113"/>
      <c r="K381" s="113"/>
      <c r="L381" s="115"/>
    </row>
    <row r="382" spans="2:12" s="112" customFormat="1" ht="12.75" x14ac:dyDescent="0.2">
      <c r="B382" s="113"/>
      <c r="C382" s="113"/>
      <c r="D382" s="114"/>
      <c r="E382" s="113"/>
      <c r="F382" s="113"/>
      <c r="G382" s="113"/>
      <c r="H382" s="113"/>
      <c r="I382" s="113"/>
      <c r="J382" s="113"/>
      <c r="K382" s="113"/>
      <c r="L382" s="115"/>
    </row>
    <row r="383" spans="2:12" s="112" customFormat="1" ht="12.75" x14ac:dyDescent="0.2">
      <c r="B383" s="113"/>
      <c r="C383" s="113"/>
      <c r="D383" s="114"/>
      <c r="E383" s="113"/>
      <c r="F383" s="113"/>
      <c r="G383" s="113"/>
      <c r="H383" s="113"/>
      <c r="I383" s="113"/>
      <c r="J383" s="113"/>
      <c r="K383" s="113"/>
      <c r="L383" s="115"/>
    </row>
    <row r="384" spans="2:12" s="112" customFormat="1" ht="12.75" x14ac:dyDescent="0.2">
      <c r="B384" s="113"/>
      <c r="C384" s="113"/>
      <c r="D384" s="114"/>
      <c r="E384" s="113"/>
      <c r="F384" s="113"/>
      <c r="G384" s="113"/>
      <c r="H384" s="113"/>
      <c r="I384" s="113"/>
      <c r="J384" s="113"/>
      <c r="K384" s="113"/>
      <c r="L384" s="115"/>
    </row>
    <row r="385" spans="2:12" s="112" customFormat="1" ht="12.75" x14ac:dyDescent="0.2">
      <c r="B385" s="113"/>
      <c r="C385" s="113"/>
      <c r="D385" s="114"/>
      <c r="E385" s="113"/>
      <c r="F385" s="113"/>
      <c r="G385" s="113"/>
      <c r="H385" s="113"/>
      <c r="I385" s="113"/>
      <c r="J385" s="113"/>
      <c r="K385" s="113"/>
      <c r="L385" s="115"/>
    </row>
    <row r="386" spans="2:12" s="112" customFormat="1" ht="12.75" x14ac:dyDescent="0.2">
      <c r="B386" s="113"/>
      <c r="C386" s="113"/>
      <c r="D386" s="114"/>
      <c r="E386" s="113"/>
      <c r="F386" s="113"/>
      <c r="G386" s="113"/>
      <c r="H386" s="113"/>
      <c r="I386" s="113"/>
      <c r="J386" s="113"/>
      <c r="K386" s="113"/>
      <c r="L386" s="115"/>
    </row>
    <row r="387" spans="2:12" s="112" customFormat="1" ht="12.75" x14ac:dyDescent="0.2">
      <c r="B387" s="113"/>
      <c r="C387" s="113"/>
      <c r="D387" s="114"/>
      <c r="E387" s="113"/>
      <c r="F387" s="113"/>
      <c r="G387" s="113"/>
      <c r="H387" s="113"/>
      <c r="I387" s="113"/>
      <c r="J387" s="113"/>
      <c r="K387" s="113"/>
      <c r="L387" s="115"/>
    </row>
    <row r="388" spans="2:12" s="112" customFormat="1" ht="12.75" x14ac:dyDescent="0.2">
      <c r="B388" s="113"/>
      <c r="C388" s="113"/>
      <c r="D388" s="114"/>
      <c r="E388" s="113"/>
      <c r="F388" s="113"/>
      <c r="G388" s="113"/>
      <c r="H388" s="113"/>
      <c r="I388" s="113"/>
      <c r="J388" s="113"/>
      <c r="K388" s="113"/>
      <c r="L388" s="115"/>
    </row>
    <row r="389" spans="2:12" s="112" customFormat="1" ht="12.75" x14ac:dyDescent="0.2">
      <c r="B389" s="113"/>
      <c r="C389" s="113"/>
      <c r="D389" s="114"/>
      <c r="E389" s="113"/>
      <c r="F389" s="113"/>
      <c r="G389" s="113"/>
      <c r="H389" s="113"/>
      <c r="I389" s="113"/>
      <c r="J389" s="113"/>
      <c r="K389" s="113"/>
      <c r="L389" s="115"/>
    </row>
    <row r="390" spans="2:12" s="112" customFormat="1" ht="12.75" x14ac:dyDescent="0.2">
      <c r="B390" s="113"/>
      <c r="C390" s="113"/>
      <c r="D390" s="114"/>
      <c r="E390" s="113"/>
      <c r="F390" s="113"/>
      <c r="G390" s="113"/>
      <c r="H390" s="113"/>
      <c r="I390" s="113"/>
      <c r="J390" s="113"/>
      <c r="K390" s="113"/>
      <c r="L390" s="115"/>
    </row>
    <row r="391" spans="2:12" s="112" customFormat="1" ht="12.75" x14ac:dyDescent="0.2">
      <c r="B391" s="113"/>
      <c r="C391" s="113"/>
      <c r="D391" s="114"/>
      <c r="E391" s="113"/>
      <c r="F391" s="113"/>
      <c r="G391" s="113"/>
      <c r="H391" s="113"/>
      <c r="I391" s="113"/>
      <c r="J391" s="113"/>
      <c r="K391" s="113"/>
      <c r="L391" s="115"/>
    </row>
    <row r="392" spans="2:12" s="112" customFormat="1" ht="12.75" x14ac:dyDescent="0.2">
      <c r="B392" s="113"/>
      <c r="C392" s="113"/>
      <c r="D392" s="114"/>
      <c r="E392" s="113"/>
      <c r="F392" s="113"/>
      <c r="G392" s="113"/>
      <c r="H392" s="113"/>
      <c r="I392" s="113"/>
      <c r="J392" s="113"/>
      <c r="K392" s="113"/>
      <c r="L392" s="115"/>
    </row>
    <row r="393" spans="2:12" s="112" customFormat="1" ht="12.75" x14ac:dyDescent="0.2">
      <c r="B393" s="113"/>
      <c r="C393" s="113"/>
      <c r="D393" s="114"/>
      <c r="E393" s="113"/>
      <c r="F393" s="113"/>
      <c r="G393" s="113"/>
      <c r="H393" s="113"/>
      <c r="I393" s="113"/>
      <c r="J393" s="113"/>
      <c r="K393" s="113"/>
      <c r="L393" s="115"/>
    </row>
    <row r="394" spans="2:12" s="112" customFormat="1" ht="12.75" x14ac:dyDescent="0.2">
      <c r="B394" s="113"/>
      <c r="C394" s="113"/>
      <c r="D394" s="114"/>
      <c r="E394" s="113"/>
      <c r="F394" s="113"/>
      <c r="G394" s="113"/>
      <c r="H394" s="113"/>
      <c r="I394" s="113"/>
      <c r="J394" s="113"/>
      <c r="K394" s="113"/>
      <c r="L394" s="115"/>
    </row>
    <row r="395" spans="2:12" s="112" customFormat="1" ht="12.75" x14ac:dyDescent="0.2">
      <c r="B395" s="113"/>
      <c r="C395" s="113"/>
      <c r="D395" s="114"/>
      <c r="E395" s="113"/>
      <c r="F395" s="113"/>
      <c r="G395" s="113"/>
      <c r="H395" s="113"/>
      <c r="I395" s="113"/>
      <c r="J395" s="113"/>
      <c r="K395" s="113"/>
      <c r="L395" s="115"/>
    </row>
    <row r="396" spans="2:12" s="112" customFormat="1" ht="12.75" x14ac:dyDescent="0.2">
      <c r="B396" s="113"/>
      <c r="C396" s="113"/>
      <c r="D396" s="114"/>
      <c r="E396" s="113"/>
      <c r="F396" s="113"/>
      <c r="G396" s="113"/>
      <c r="H396" s="113"/>
      <c r="I396" s="113"/>
      <c r="J396" s="113"/>
      <c r="K396" s="113"/>
      <c r="L396" s="115"/>
    </row>
    <row r="397" spans="2:12" s="112" customFormat="1" ht="12.75" x14ac:dyDescent="0.2">
      <c r="B397" s="113"/>
      <c r="C397" s="113"/>
      <c r="D397" s="114"/>
      <c r="E397" s="113"/>
      <c r="F397" s="113"/>
      <c r="G397" s="113"/>
      <c r="H397" s="113"/>
      <c r="I397" s="113"/>
      <c r="J397" s="113"/>
      <c r="K397" s="113"/>
      <c r="L397" s="115"/>
    </row>
    <row r="398" spans="2:12" s="112" customFormat="1" ht="12.75" x14ac:dyDescent="0.2">
      <c r="B398" s="113"/>
      <c r="C398" s="113"/>
      <c r="D398" s="114"/>
      <c r="E398" s="113"/>
      <c r="F398" s="113"/>
      <c r="G398" s="113"/>
      <c r="H398" s="113"/>
      <c r="I398" s="113"/>
      <c r="J398" s="113"/>
      <c r="K398" s="113"/>
      <c r="L398" s="115"/>
    </row>
    <row r="399" spans="2:12" s="112" customFormat="1" ht="12.75" x14ac:dyDescent="0.2">
      <c r="B399" s="113"/>
      <c r="C399" s="113"/>
      <c r="D399" s="114"/>
      <c r="E399" s="113"/>
      <c r="F399" s="113"/>
      <c r="G399" s="113"/>
      <c r="H399" s="113"/>
      <c r="I399" s="113"/>
      <c r="J399" s="113"/>
      <c r="K399" s="113"/>
      <c r="L399" s="115"/>
    </row>
    <row r="400" spans="2:12" s="112" customFormat="1" ht="12.75" x14ac:dyDescent="0.2">
      <c r="B400" s="113"/>
      <c r="C400" s="113"/>
      <c r="D400" s="114"/>
      <c r="E400" s="113"/>
      <c r="F400" s="113"/>
      <c r="G400" s="113"/>
      <c r="H400" s="113"/>
      <c r="I400" s="113"/>
      <c r="J400" s="113"/>
      <c r="K400" s="113"/>
      <c r="L400" s="115"/>
    </row>
    <row r="401" spans="2:12" s="112" customFormat="1" ht="12.75" x14ac:dyDescent="0.2">
      <c r="B401" s="113"/>
      <c r="C401" s="113"/>
      <c r="D401" s="114"/>
      <c r="E401" s="113"/>
      <c r="F401" s="113"/>
      <c r="G401" s="113"/>
      <c r="H401" s="113"/>
      <c r="I401" s="113"/>
      <c r="J401" s="113"/>
      <c r="K401" s="113"/>
      <c r="L401" s="115"/>
    </row>
    <row r="402" spans="2:12" s="112" customFormat="1" ht="12.75" x14ac:dyDescent="0.2">
      <c r="B402" s="113"/>
      <c r="C402" s="113"/>
      <c r="D402" s="114"/>
      <c r="E402" s="113"/>
      <c r="F402" s="113"/>
      <c r="G402" s="113"/>
      <c r="H402" s="113"/>
      <c r="I402" s="113"/>
      <c r="J402" s="113"/>
      <c r="K402" s="113"/>
      <c r="L402" s="115"/>
    </row>
    <row r="403" spans="2:12" s="112" customFormat="1" ht="12.75" x14ac:dyDescent="0.2">
      <c r="B403" s="113"/>
      <c r="C403" s="113"/>
      <c r="D403" s="114"/>
      <c r="E403" s="113"/>
      <c r="F403" s="113"/>
      <c r="G403" s="113"/>
      <c r="H403" s="113"/>
      <c r="I403" s="113"/>
      <c r="J403" s="113"/>
      <c r="K403" s="113"/>
      <c r="L403" s="115"/>
    </row>
    <row r="404" spans="2:12" s="112" customFormat="1" ht="12.75" x14ac:dyDescent="0.2">
      <c r="B404" s="113"/>
      <c r="C404" s="113"/>
      <c r="D404" s="114"/>
      <c r="E404" s="113"/>
      <c r="F404" s="113"/>
      <c r="G404" s="113"/>
      <c r="H404" s="113"/>
      <c r="I404" s="113"/>
      <c r="J404" s="113"/>
      <c r="K404" s="113"/>
      <c r="L404" s="115"/>
    </row>
    <row r="405" spans="2:12" s="112" customFormat="1" ht="12.75" x14ac:dyDescent="0.2">
      <c r="B405" s="113"/>
      <c r="C405" s="113"/>
      <c r="D405" s="114"/>
      <c r="E405" s="113"/>
      <c r="F405" s="113"/>
      <c r="G405" s="113"/>
      <c r="H405" s="113"/>
      <c r="I405" s="113"/>
      <c r="J405" s="113"/>
      <c r="K405" s="113"/>
      <c r="L405" s="115"/>
    </row>
    <row r="406" spans="2:12" s="112" customFormat="1" ht="12.75" x14ac:dyDescent="0.2">
      <c r="B406" s="113"/>
      <c r="C406" s="113"/>
      <c r="D406" s="114"/>
      <c r="E406" s="113"/>
      <c r="F406" s="113"/>
      <c r="G406" s="113"/>
      <c r="H406" s="113"/>
      <c r="I406" s="113"/>
      <c r="J406" s="113"/>
      <c r="K406" s="113"/>
      <c r="L406" s="115"/>
    </row>
    <row r="407" spans="2:12" s="112" customFormat="1" ht="12.75" x14ac:dyDescent="0.2">
      <c r="B407" s="113"/>
      <c r="C407" s="113"/>
      <c r="D407" s="114"/>
      <c r="E407" s="113"/>
      <c r="F407" s="113"/>
      <c r="G407" s="113"/>
      <c r="H407" s="113"/>
      <c r="I407" s="113"/>
      <c r="J407" s="113"/>
      <c r="K407" s="113"/>
      <c r="L407" s="115"/>
    </row>
    <row r="408" spans="2:12" s="112" customFormat="1" ht="12.75" x14ac:dyDescent="0.2">
      <c r="B408" s="113"/>
      <c r="C408" s="113"/>
      <c r="D408" s="114"/>
      <c r="E408" s="113"/>
      <c r="F408" s="113"/>
      <c r="G408" s="113"/>
      <c r="H408" s="113"/>
      <c r="I408" s="113"/>
      <c r="J408" s="113"/>
      <c r="K408" s="113"/>
      <c r="L408" s="115"/>
    </row>
    <row r="409" spans="2:12" s="112" customFormat="1" ht="12.75" x14ac:dyDescent="0.2">
      <c r="B409" s="113"/>
      <c r="C409" s="113"/>
      <c r="D409" s="114"/>
      <c r="E409" s="113"/>
      <c r="F409" s="113"/>
      <c r="G409" s="113"/>
      <c r="H409" s="113"/>
      <c r="I409" s="113"/>
      <c r="J409" s="113"/>
      <c r="K409" s="113"/>
      <c r="L409" s="115"/>
    </row>
    <row r="410" spans="2:12" s="112" customFormat="1" ht="12.75" x14ac:dyDescent="0.2">
      <c r="B410" s="113"/>
      <c r="C410" s="113"/>
      <c r="D410" s="114"/>
      <c r="E410" s="113"/>
      <c r="F410" s="113"/>
      <c r="G410" s="113"/>
      <c r="H410" s="113"/>
      <c r="I410" s="113"/>
      <c r="J410" s="113"/>
      <c r="K410" s="113"/>
      <c r="L410" s="115"/>
    </row>
    <row r="411" spans="2:12" s="112" customFormat="1" ht="12.75" x14ac:dyDescent="0.2">
      <c r="B411" s="113"/>
      <c r="C411" s="113"/>
      <c r="D411" s="114"/>
      <c r="E411" s="113"/>
      <c r="F411" s="113"/>
      <c r="G411" s="113"/>
      <c r="H411" s="113"/>
      <c r="I411" s="113"/>
      <c r="J411" s="113"/>
      <c r="K411" s="113"/>
      <c r="L411" s="115"/>
    </row>
    <row r="412" spans="2:12" s="112" customFormat="1" ht="12.75" x14ac:dyDescent="0.2">
      <c r="B412" s="113"/>
      <c r="C412" s="113"/>
      <c r="D412" s="114"/>
      <c r="E412" s="113"/>
      <c r="F412" s="113"/>
      <c r="G412" s="113"/>
      <c r="H412" s="113"/>
      <c r="I412" s="113"/>
      <c r="J412" s="113"/>
      <c r="K412" s="113"/>
      <c r="L412" s="115"/>
    </row>
    <row r="413" spans="2:12" s="112" customFormat="1" ht="12.75" x14ac:dyDescent="0.2">
      <c r="B413" s="113"/>
      <c r="C413" s="113"/>
      <c r="D413" s="114"/>
      <c r="E413" s="113"/>
      <c r="F413" s="113"/>
      <c r="G413" s="113"/>
      <c r="H413" s="113"/>
      <c r="I413" s="113"/>
      <c r="J413" s="113"/>
      <c r="K413" s="113"/>
      <c r="L413" s="115"/>
    </row>
    <row r="414" spans="2:12" s="112" customFormat="1" ht="12.75" x14ac:dyDescent="0.2">
      <c r="B414" s="113"/>
      <c r="C414" s="113"/>
      <c r="D414" s="114"/>
      <c r="E414" s="113"/>
      <c r="F414" s="113"/>
      <c r="G414" s="113"/>
      <c r="H414" s="113"/>
      <c r="I414" s="113"/>
      <c r="J414" s="113"/>
      <c r="K414" s="113"/>
      <c r="L414" s="115"/>
    </row>
    <row r="415" spans="2:12" s="112" customFormat="1" ht="12.75" x14ac:dyDescent="0.2">
      <c r="B415" s="113"/>
      <c r="C415" s="113"/>
      <c r="D415" s="114"/>
      <c r="E415" s="113"/>
      <c r="F415" s="113"/>
      <c r="G415" s="113"/>
      <c r="H415" s="113"/>
      <c r="I415" s="113"/>
      <c r="J415" s="113"/>
      <c r="K415" s="113"/>
      <c r="L415" s="115"/>
    </row>
    <row r="416" spans="2:12" s="112" customFormat="1" ht="12.75" x14ac:dyDescent="0.2">
      <c r="B416" s="113"/>
      <c r="C416" s="113"/>
      <c r="D416" s="114"/>
      <c r="E416" s="113"/>
      <c r="F416" s="113"/>
      <c r="G416" s="113"/>
      <c r="H416" s="113"/>
      <c r="I416" s="113"/>
      <c r="J416" s="113"/>
      <c r="K416" s="113"/>
      <c r="L416" s="115"/>
    </row>
    <row r="417" spans="2:12" s="112" customFormat="1" ht="12.75" x14ac:dyDescent="0.2">
      <c r="B417" s="113"/>
      <c r="C417" s="113"/>
      <c r="D417" s="114"/>
      <c r="E417" s="113"/>
      <c r="F417" s="113"/>
      <c r="G417" s="113"/>
      <c r="H417" s="113"/>
      <c r="I417" s="113"/>
      <c r="J417" s="113"/>
      <c r="K417" s="113"/>
      <c r="L417" s="115"/>
    </row>
    <row r="418" spans="2:12" s="112" customFormat="1" ht="12.75" x14ac:dyDescent="0.2">
      <c r="B418" s="113"/>
      <c r="C418" s="113"/>
      <c r="D418" s="114"/>
      <c r="E418" s="113"/>
      <c r="F418" s="113"/>
      <c r="G418" s="113"/>
      <c r="H418" s="113"/>
      <c r="I418" s="113"/>
      <c r="J418" s="113"/>
      <c r="K418" s="113"/>
      <c r="L418" s="115"/>
    </row>
    <row r="419" spans="2:12" s="112" customFormat="1" ht="12.75" x14ac:dyDescent="0.2">
      <c r="B419" s="113"/>
      <c r="C419" s="113"/>
      <c r="D419" s="114"/>
      <c r="E419" s="113"/>
      <c r="F419" s="113"/>
      <c r="G419" s="113"/>
      <c r="H419" s="113"/>
      <c r="I419" s="113"/>
      <c r="J419" s="113"/>
      <c r="K419" s="113"/>
      <c r="L419" s="115"/>
    </row>
    <row r="420" spans="2:12" s="112" customFormat="1" ht="12.75" x14ac:dyDescent="0.2">
      <c r="B420" s="113"/>
      <c r="C420" s="113"/>
      <c r="D420" s="114"/>
      <c r="E420" s="113"/>
      <c r="F420" s="113"/>
      <c r="G420" s="113"/>
      <c r="H420" s="113"/>
      <c r="I420" s="113"/>
      <c r="J420" s="113"/>
      <c r="K420" s="113"/>
      <c r="L420" s="115"/>
    </row>
    <row r="421" spans="2:12" s="112" customFormat="1" ht="12.75" x14ac:dyDescent="0.2">
      <c r="B421" s="113"/>
      <c r="C421" s="113"/>
      <c r="D421" s="114"/>
      <c r="E421" s="113"/>
      <c r="F421" s="113"/>
      <c r="G421" s="113"/>
      <c r="H421" s="113"/>
      <c r="I421" s="113"/>
      <c r="J421" s="113"/>
      <c r="K421" s="113"/>
      <c r="L421" s="115"/>
    </row>
    <row r="422" spans="2:12" s="112" customFormat="1" ht="12.75" x14ac:dyDescent="0.2">
      <c r="B422" s="113"/>
      <c r="C422" s="113"/>
      <c r="D422" s="114"/>
      <c r="E422" s="113"/>
      <c r="F422" s="113"/>
      <c r="G422" s="113"/>
      <c r="H422" s="113"/>
      <c r="I422" s="113"/>
      <c r="J422" s="113"/>
      <c r="K422" s="113"/>
      <c r="L422" s="115"/>
    </row>
    <row r="423" spans="2:12" s="112" customFormat="1" ht="12.75" x14ac:dyDescent="0.2">
      <c r="B423" s="113"/>
      <c r="C423" s="113"/>
      <c r="D423" s="114"/>
      <c r="E423" s="113"/>
      <c r="F423" s="113"/>
      <c r="G423" s="113"/>
      <c r="H423" s="113"/>
      <c r="I423" s="113"/>
      <c r="J423" s="113"/>
      <c r="K423" s="113"/>
      <c r="L423" s="115"/>
    </row>
    <row r="424" spans="2:12" s="112" customFormat="1" ht="12.75" x14ac:dyDescent="0.2">
      <c r="B424" s="113"/>
      <c r="C424" s="113"/>
      <c r="D424" s="114"/>
      <c r="E424" s="113"/>
      <c r="F424" s="113"/>
      <c r="G424" s="113"/>
      <c r="H424" s="113"/>
      <c r="I424" s="113"/>
      <c r="J424" s="113"/>
      <c r="K424" s="113"/>
      <c r="L424" s="115"/>
    </row>
    <row r="425" spans="2:12" s="112" customFormat="1" ht="12.75" x14ac:dyDescent="0.2">
      <c r="B425" s="113"/>
      <c r="C425" s="113"/>
      <c r="D425" s="114"/>
      <c r="E425" s="113"/>
      <c r="F425" s="113"/>
      <c r="G425" s="113"/>
      <c r="H425" s="113"/>
      <c r="I425" s="113"/>
      <c r="J425" s="113"/>
      <c r="K425" s="113"/>
      <c r="L425" s="115"/>
    </row>
    <row r="426" spans="2:12" s="112" customFormat="1" ht="12.75" x14ac:dyDescent="0.2">
      <c r="B426" s="113"/>
      <c r="C426" s="113"/>
      <c r="D426" s="114"/>
      <c r="E426" s="113"/>
      <c r="F426" s="113"/>
      <c r="G426" s="113"/>
      <c r="H426" s="113"/>
      <c r="I426" s="113"/>
      <c r="J426" s="113"/>
      <c r="K426" s="113"/>
      <c r="L426" s="115"/>
    </row>
    <row r="427" spans="2:12" s="112" customFormat="1" ht="12.75" x14ac:dyDescent="0.2">
      <c r="B427" s="113"/>
      <c r="C427" s="113"/>
      <c r="D427" s="114"/>
      <c r="E427" s="113"/>
      <c r="F427" s="113"/>
      <c r="G427" s="113"/>
      <c r="H427" s="113"/>
      <c r="I427" s="113"/>
      <c r="J427" s="113"/>
      <c r="K427" s="113"/>
      <c r="L427" s="115"/>
    </row>
    <row r="428" spans="2:12" s="112" customFormat="1" ht="12.75" x14ac:dyDescent="0.2">
      <c r="B428" s="113"/>
      <c r="C428" s="113"/>
      <c r="D428" s="114"/>
      <c r="E428" s="113"/>
      <c r="F428" s="113"/>
      <c r="G428" s="113"/>
      <c r="H428" s="113"/>
      <c r="I428" s="113"/>
      <c r="J428" s="113"/>
      <c r="K428" s="113"/>
      <c r="L428" s="115"/>
    </row>
    <row r="429" spans="2:12" s="112" customFormat="1" ht="12.75" x14ac:dyDescent="0.2">
      <c r="B429" s="113"/>
      <c r="C429" s="113"/>
      <c r="D429" s="114"/>
      <c r="E429" s="113"/>
      <c r="F429" s="113"/>
      <c r="G429" s="113"/>
      <c r="H429" s="113"/>
      <c r="I429" s="113"/>
      <c r="J429" s="113"/>
      <c r="K429" s="113"/>
      <c r="L429" s="115"/>
    </row>
    <row r="430" spans="2:12" s="112" customFormat="1" ht="12.75" x14ac:dyDescent="0.2">
      <c r="B430" s="113"/>
      <c r="C430" s="113"/>
      <c r="D430" s="114"/>
      <c r="E430" s="113"/>
      <c r="F430" s="113"/>
      <c r="G430" s="113"/>
      <c r="H430" s="113"/>
      <c r="I430" s="113"/>
      <c r="J430" s="113"/>
      <c r="K430" s="113"/>
      <c r="L430" s="115"/>
    </row>
    <row r="431" spans="2:12" s="112" customFormat="1" ht="12.75" x14ac:dyDescent="0.2">
      <c r="B431" s="113"/>
      <c r="C431" s="113"/>
      <c r="D431" s="114"/>
      <c r="E431" s="113"/>
      <c r="F431" s="113"/>
      <c r="G431" s="113"/>
      <c r="H431" s="113"/>
      <c r="I431" s="113"/>
      <c r="J431" s="113"/>
      <c r="K431" s="113"/>
      <c r="L431" s="115"/>
    </row>
    <row r="432" spans="2:12" s="112" customFormat="1" ht="12.75" x14ac:dyDescent="0.2">
      <c r="B432" s="113"/>
      <c r="C432" s="113"/>
      <c r="D432" s="114"/>
      <c r="E432" s="113"/>
      <c r="F432" s="113"/>
      <c r="G432" s="113"/>
      <c r="H432" s="113"/>
      <c r="I432" s="113"/>
      <c r="J432" s="113"/>
      <c r="K432" s="113"/>
      <c r="L432" s="115"/>
    </row>
    <row r="433" spans="2:12" s="112" customFormat="1" ht="12.75" x14ac:dyDescent="0.2">
      <c r="B433" s="113"/>
      <c r="C433" s="113"/>
      <c r="D433" s="114"/>
      <c r="E433" s="113"/>
      <c r="F433" s="113"/>
      <c r="G433" s="113"/>
      <c r="H433" s="113"/>
      <c r="I433" s="113"/>
      <c r="J433" s="113"/>
      <c r="K433" s="113"/>
      <c r="L433" s="115"/>
    </row>
    <row r="434" spans="2:12" s="112" customFormat="1" ht="12.75" x14ac:dyDescent="0.2">
      <c r="B434" s="113"/>
      <c r="C434" s="113"/>
      <c r="D434" s="114"/>
      <c r="E434" s="113"/>
      <c r="F434" s="113"/>
      <c r="G434" s="113"/>
      <c r="H434" s="113"/>
      <c r="I434" s="113"/>
      <c r="J434" s="113"/>
      <c r="K434" s="113"/>
      <c r="L434" s="115"/>
    </row>
    <row r="435" spans="2:12" s="112" customFormat="1" ht="12.75" x14ac:dyDescent="0.2">
      <c r="B435" s="113"/>
      <c r="C435" s="113"/>
      <c r="D435" s="114"/>
      <c r="E435" s="113"/>
      <c r="F435" s="113"/>
      <c r="G435" s="113"/>
      <c r="H435" s="113"/>
      <c r="I435" s="113"/>
      <c r="J435" s="113"/>
      <c r="K435" s="113"/>
      <c r="L435" s="115"/>
    </row>
    <row r="436" spans="2:12" s="112" customFormat="1" ht="12.75" x14ac:dyDescent="0.2">
      <c r="B436" s="113"/>
      <c r="C436" s="113"/>
      <c r="D436" s="114"/>
      <c r="E436" s="113"/>
      <c r="F436" s="113"/>
      <c r="G436" s="113"/>
      <c r="H436" s="113"/>
      <c r="I436" s="113"/>
      <c r="J436" s="113"/>
      <c r="K436" s="113"/>
      <c r="L436" s="115"/>
    </row>
    <row r="437" spans="2:12" s="112" customFormat="1" ht="12.75" x14ac:dyDescent="0.2">
      <c r="B437" s="113"/>
      <c r="C437" s="113"/>
      <c r="D437" s="114"/>
      <c r="E437" s="113"/>
      <c r="F437" s="113"/>
      <c r="G437" s="113"/>
      <c r="H437" s="113"/>
      <c r="I437" s="113"/>
      <c r="J437" s="113"/>
      <c r="K437" s="113"/>
      <c r="L437" s="115"/>
    </row>
    <row r="438" spans="2:12" s="112" customFormat="1" ht="12.75" x14ac:dyDescent="0.2">
      <c r="B438" s="113"/>
      <c r="C438" s="113"/>
      <c r="D438" s="114"/>
      <c r="E438" s="113"/>
      <c r="F438" s="113"/>
      <c r="G438" s="113"/>
      <c r="H438" s="113"/>
      <c r="I438" s="113"/>
      <c r="J438" s="113"/>
      <c r="K438" s="113"/>
      <c r="L438" s="115"/>
    </row>
    <row r="439" spans="2:12" s="112" customFormat="1" ht="12.75" x14ac:dyDescent="0.2">
      <c r="B439" s="113"/>
      <c r="C439" s="113"/>
      <c r="D439" s="114"/>
      <c r="E439" s="113"/>
      <c r="F439" s="113"/>
      <c r="G439" s="113"/>
      <c r="H439" s="113"/>
      <c r="I439" s="113"/>
      <c r="J439" s="113"/>
      <c r="K439" s="113"/>
      <c r="L439" s="115"/>
    </row>
    <row r="440" spans="2:12" s="112" customFormat="1" ht="12.75" x14ac:dyDescent="0.2">
      <c r="B440" s="113"/>
      <c r="C440" s="113"/>
      <c r="D440" s="114"/>
      <c r="E440" s="113"/>
      <c r="F440" s="113"/>
      <c r="G440" s="113"/>
      <c r="H440" s="113"/>
      <c r="I440" s="113"/>
      <c r="J440" s="113"/>
      <c r="K440" s="113"/>
      <c r="L440" s="115"/>
    </row>
    <row r="441" spans="2:12" s="112" customFormat="1" ht="12.75" x14ac:dyDescent="0.2">
      <c r="B441" s="113"/>
      <c r="C441" s="113"/>
      <c r="D441" s="114"/>
      <c r="E441" s="113"/>
      <c r="F441" s="113"/>
      <c r="G441" s="113"/>
      <c r="H441" s="113"/>
      <c r="I441" s="113"/>
      <c r="J441" s="113"/>
      <c r="K441" s="113"/>
      <c r="L441" s="115"/>
    </row>
    <row r="442" spans="2:12" s="112" customFormat="1" ht="12.75" x14ac:dyDescent="0.2">
      <c r="B442" s="113"/>
      <c r="C442" s="113"/>
      <c r="D442" s="114"/>
      <c r="E442" s="113"/>
      <c r="F442" s="113"/>
      <c r="G442" s="113"/>
      <c r="H442" s="113"/>
      <c r="I442" s="113"/>
      <c r="J442" s="113"/>
      <c r="K442" s="113"/>
      <c r="L442" s="115"/>
    </row>
    <row r="443" spans="2:12" s="112" customFormat="1" ht="12.75" x14ac:dyDescent="0.2">
      <c r="B443" s="113"/>
      <c r="C443" s="113"/>
      <c r="D443" s="114"/>
      <c r="E443" s="113"/>
      <c r="F443" s="113"/>
      <c r="G443" s="113"/>
      <c r="H443" s="113"/>
      <c r="I443" s="113"/>
      <c r="J443" s="113"/>
      <c r="K443" s="113"/>
      <c r="L443" s="115"/>
    </row>
    <row r="444" spans="2:12" s="112" customFormat="1" ht="12.75" x14ac:dyDescent="0.2">
      <c r="B444" s="113"/>
      <c r="C444" s="113"/>
      <c r="D444" s="114"/>
      <c r="E444" s="113"/>
      <c r="F444" s="113"/>
      <c r="G444" s="113"/>
      <c r="H444" s="113"/>
      <c r="I444" s="113"/>
      <c r="J444" s="113"/>
      <c r="K444" s="113"/>
      <c r="L444" s="115"/>
    </row>
    <row r="445" spans="2:12" s="112" customFormat="1" ht="12.75" x14ac:dyDescent="0.2">
      <c r="B445" s="113"/>
      <c r="C445" s="113"/>
      <c r="D445" s="114"/>
      <c r="E445" s="113"/>
      <c r="F445" s="113"/>
      <c r="G445" s="113"/>
      <c r="H445" s="113"/>
      <c r="I445" s="113"/>
      <c r="J445" s="113"/>
      <c r="K445" s="113"/>
      <c r="L445" s="115"/>
    </row>
    <row r="446" spans="2:12" s="112" customFormat="1" ht="12.75" x14ac:dyDescent="0.2">
      <c r="B446" s="113"/>
      <c r="C446" s="113"/>
      <c r="D446" s="114"/>
      <c r="E446" s="113"/>
      <c r="F446" s="113"/>
      <c r="G446" s="113"/>
      <c r="H446" s="113"/>
      <c r="I446" s="113"/>
      <c r="J446" s="113"/>
      <c r="K446" s="113"/>
      <c r="L446" s="115"/>
    </row>
    <row r="447" spans="2:12" s="112" customFormat="1" ht="12.75" x14ac:dyDescent="0.2">
      <c r="B447" s="113"/>
      <c r="C447" s="113"/>
      <c r="D447" s="114"/>
      <c r="E447" s="113"/>
      <c r="F447" s="113"/>
      <c r="G447" s="113"/>
      <c r="H447" s="113"/>
      <c r="I447" s="113"/>
      <c r="J447" s="113"/>
      <c r="K447" s="113"/>
      <c r="L447" s="115"/>
    </row>
    <row r="448" spans="2:12" s="112" customFormat="1" ht="12.75" x14ac:dyDescent="0.2">
      <c r="B448" s="113"/>
      <c r="C448" s="113"/>
      <c r="D448" s="114"/>
      <c r="E448" s="113"/>
      <c r="F448" s="113"/>
      <c r="G448" s="113"/>
      <c r="H448" s="113"/>
      <c r="I448" s="113"/>
      <c r="J448" s="113"/>
      <c r="K448" s="113"/>
      <c r="L448" s="115"/>
    </row>
    <row r="449" spans="2:12" s="112" customFormat="1" ht="12.75" x14ac:dyDescent="0.2">
      <c r="B449" s="113"/>
      <c r="C449" s="113"/>
      <c r="D449" s="114"/>
      <c r="E449" s="113"/>
      <c r="F449" s="113"/>
      <c r="G449" s="113"/>
      <c r="H449" s="113"/>
      <c r="I449" s="113"/>
      <c r="J449" s="113"/>
      <c r="K449" s="113"/>
      <c r="L449" s="115"/>
    </row>
    <row r="450" spans="2:12" s="112" customFormat="1" ht="12.75" x14ac:dyDescent="0.2">
      <c r="B450" s="113"/>
      <c r="C450" s="113"/>
      <c r="D450" s="114"/>
      <c r="E450" s="113"/>
      <c r="F450" s="113"/>
      <c r="G450" s="113"/>
      <c r="H450" s="113"/>
      <c r="I450" s="113"/>
      <c r="J450" s="113"/>
      <c r="K450" s="113"/>
      <c r="L450" s="115"/>
    </row>
    <row r="451" spans="2:12" s="112" customFormat="1" ht="12.75" x14ac:dyDescent="0.2">
      <c r="B451" s="113"/>
      <c r="C451" s="113"/>
      <c r="D451" s="114"/>
      <c r="E451" s="113"/>
      <c r="F451" s="113"/>
      <c r="G451" s="113"/>
      <c r="H451" s="113"/>
      <c r="I451" s="113"/>
      <c r="J451" s="113"/>
      <c r="K451" s="113"/>
      <c r="L451" s="115"/>
    </row>
    <row r="452" spans="2:12" s="112" customFormat="1" ht="12.75" x14ac:dyDescent="0.2">
      <c r="B452" s="113"/>
      <c r="C452" s="113"/>
      <c r="D452" s="114"/>
      <c r="E452" s="113"/>
      <c r="F452" s="113"/>
      <c r="G452" s="113"/>
      <c r="H452" s="113"/>
      <c r="I452" s="113"/>
      <c r="J452" s="113"/>
      <c r="K452" s="113"/>
      <c r="L452" s="115"/>
    </row>
    <row r="453" spans="2:12" s="112" customFormat="1" ht="12.75" x14ac:dyDescent="0.2">
      <c r="B453" s="113"/>
      <c r="C453" s="113"/>
      <c r="D453" s="114"/>
      <c r="E453" s="113"/>
      <c r="F453" s="113"/>
      <c r="G453" s="113"/>
      <c r="H453" s="113"/>
      <c r="I453" s="113"/>
      <c r="J453" s="113"/>
      <c r="K453" s="113"/>
      <c r="L453" s="115"/>
    </row>
    <row r="454" spans="2:12" s="112" customFormat="1" ht="12.75" x14ac:dyDescent="0.2">
      <c r="B454" s="113"/>
      <c r="C454" s="113"/>
      <c r="D454" s="114"/>
      <c r="E454" s="113"/>
      <c r="F454" s="113"/>
      <c r="G454" s="113"/>
      <c r="H454" s="113"/>
      <c r="I454" s="113"/>
      <c r="J454" s="113"/>
      <c r="K454" s="113"/>
      <c r="L454" s="115"/>
    </row>
    <row r="455" spans="2:12" s="112" customFormat="1" ht="12.75" x14ac:dyDescent="0.2">
      <c r="B455" s="113"/>
      <c r="C455" s="113"/>
      <c r="D455" s="114"/>
      <c r="E455" s="113"/>
      <c r="F455" s="113"/>
      <c r="G455" s="113"/>
      <c r="H455" s="113"/>
      <c r="I455" s="113"/>
      <c r="J455" s="113"/>
      <c r="K455" s="113"/>
      <c r="L455" s="115"/>
    </row>
    <row r="456" spans="2:12" s="112" customFormat="1" ht="12.75" x14ac:dyDescent="0.2">
      <c r="B456" s="113"/>
      <c r="C456" s="113"/>
      <c r="D456" s="114"/>
      <c r="E456" s="113"/>
      <c r="F456" s="113"/>
      <c r="G456" s="113"/>
      <c r="H456" s="113"/>
      <c r="I456" s="113"/>
      <c r="J456" s="113"/>
      <c r="K456" s="113"/>
      <c r="L456" s="115"/>
    </row>
    <row r="457" spans="2:12" s="112" customFormat="1" ht="12.75" x14ac:dyDescent="0.2">
      <c r="B457" s="113"/>
      <c r="C457" s="113"/>
      <c r="D457" s="114"/>
      <c r="E457" s="113"/>
      <c r="F457" s="113"/>
      <c r="G457" s="113"/>
      <c r="H457" s="113"/>
      <c r="I457" s="113"/>
      <c r="J457" s="113"/>
      <c r="K457" s="113"/>
      <c r="L457" s="115"/>
    </row>
    <row r="458" spans="2:12" s="112" customFormat="1" ht="12.75" x14ac:dyDescent="0.2">
      <c r="B458" s="113"/>
      <c r="C458" s="113"/>
      <c r="D458" s="114"/>
      <c r="E458" s="113"/>
      <c r="F458" s="113"/>
      <c r="G458" s="113"/>
      <c r="H458" s="113"/>
      <c r="I458" s="113"/>
      <c r="J458" s="113"/>
      <c r="K458" s="113"/>
      <c r="L458" s="115"/>
    </row>
    <row r="459" spans="2:12" s="112" customFormat="1" ht="12.75" x14ac:dyDescent="0.2">
      <c r="B459" s="113"/>
      <c r="C459" s="113"/>
      <c r="D459" s="114"/>
      <c r="E459" s="113"/>
      <c r="F459" s="113"/>
      <c r="G459" s="113"/>
      <c r="H459" s="113"/>
      <c r="I459" s="113"/>
      <c r="J459" s="113"/>
      <c r="K459" s="113"/>
      <c r="L459" s="115"/>
    </row>
    <row r="460" spans="2:12" s="112" customFormat="1" ht="12.75" x14ac:dyDescent="0.2">
      <c r="B460" s="113"/>
      <c r="C460" s="113"/>
      <c r="D460" s="114"/>
      <c r="E460" s="113"/>
      <c r="F460" s="113"/>
      <c r="G460" s="113"/>
      <c r="H460" s="113"/>
      <c r="I460" s="113"/>
      <c r="J460" s="113"/>
      <c r="K460" s="113"/>
      <c r="L460" s="115"/>
    </row>
    <row r="461" spans="2:12" s="112" customFormat="1" ht="12.75" x14ac:dyDescent="0.2">
      <c r="B461" s="113"/>
      <c r="C461" s="113"/>
      <c r="D461" s="114"/>
      <c r="E461" s="113"/>
      <c r="F461" s="113"/>
      <c r="G461" s="113"/>
      <c r="H461" s="113"/>
      <c r="I461" s="113"/>
      <c r="J461" s="113"/>
      <c r="K461" s="113"/>
      <c r="L461" s="115"/>
    </row>
    <row r="462" spans="2:12" s="112" customFormat="1" ht="12.75" x14ac:dyDescent="0.2">
      <c r="B462" s="113"/>
      <c r="C462" s="113"/>
      <c r="D462" s="114"/>
      <c r="E462" s="113"/>
      <c r="F462" s="113"/>
      <c r="G462" s="113"/>
      <c r="H462" s="113"/>
      <c r="I462" s="113"/>
      <c r="J462" s="113"/>
      <c r="K462" s="113"/>
      <c r="L462" s="115"/>
    </row>
    <row r="463" spans="2:12" s="112" customFormat="1" ht="12.75" x14ac:dyDescent="0.2">
      <c r="B463" s="113"/>
      <c r="C463" s="113"/>
      <c r="D463" s="114"/>
      <c r="E463" s="113"/>
      <c r="F463" s="113"/>
      <c r="G463" s="113"/>
      <c r="H463" s="113"/>
      <c r="I463" s="113"/>
      <c r="J463" s="113"/>
      <c r="K463" s="113"/>
      <c r="L463" s="115"/>
    </row>
    <row r="464" spans="2:12" s="112" customFormat="1" ht="12.75" x14ac:dyDescent="0.2">
      <c r="B464" s="113"/>
      <c r="C464" s="113"/>
      <c r="D464" s="114"/>
      <c r="E464" s="113"/>
      <c r="F464" s="113"/>
      <c r="G464" s="113"/>
      <c r="H464" s="113"/>
      <c r="I464" s="113"/>
      <c r="J464" s="113"/>
      <c r="K464" s="113"/>
      <c r="L464" s="115"/>
    </row>
    <row r="465" spans="2:12" s="112" customFormat="1" ht="12.75" x14ac:dyDescent="0.2">
      <c r="B465" s="113"/>
      <c r="C465" s="113"/>
      <c r="D465" s="114"/>
      <c r="E465" s="113"/>
      <c r="F465" s="113"/>
      <c r="G465" s="113"/>
      <c r="H465" s="113"/>
      <c r="I465" s="113"/>
      <c r="J465" s="113"/>
      <c r="K465" s="113"/>
      <c r="L465" s="115"/>
    </row>
    <row r="466" spans="2:12" s="112" customFormat="1" ht="12.75" x14ac:dyDescent="0.2">
      <c r="B466" s="113"/>
      <c r="C466" s="113"/>
      <c r="D466" s="114"/>
      <c r="E466" s="113"/>
      <c r="F466" s="113"/>
      <c r="G466" s="113"/>
      <c r="H466" s="113"/>
      <c r="I466" s="113"/>
      <c r="J466" s="113"/>
      <c r="K466" s="113"/>
      <c r="L466" s="115"/>
    </row>
    <row r="467" spans="2:12" s="112" customFormat="1" ht="12.75" x14ac:dyDescent="0.2">
      <c r="B467" s="113"/>
      <c r="C467" s="113"/>
      <c r="D467" s="114"/>
      <c r="E467" s="113"/>
      <c r="F467" s="113"/>
      <c r="G467" s="113"/>
      <c r="H467" s="113"/>
      <c r="I467" s="113"/>
      <c r="J467" s="113"/>
      <c r="K467" s="113"/>
      <c r="L467" s="115"/>
    </row>
    <row r="468" spans="2:12" s="112" customFormat="1" ht="12.75" x14ac:dyDescent="0.2">
      <c r="B468" s="113"/>
      <c r="C468" s="113"/>
      <c r="D468" s="114"/>
      <c r="E468" s="113"/>
      <c r="F468" s="113"/>
      <c r="G468" s="113"/>
      <c r="H468" s="113"/>
      <c r="I468" s="113"/>
      <c r="J468" s="113"/>
      <c r="K468" s="113"/>
      <c r="L468" s="115"/>
    </row>
    <row r="469" spans="2:12" s="112" customFormat="1" ht="12.75" x14ac:dyDescent="0.2">
      <c r="B469" s="113"/>
      <c r="C469" s="113"/>
      <c r="D469" s="114"/>
      <c r="E469" s="113"/>
      <c r="F469" s="113"/>
      <c r="G469" s="113"/>
      <c r="H469" s="113"/>
      <c r="I469" s="113"/>
      <c r="J469" s="113"/>
      <c r="K469" s="113"/>
      <c r="L469" s="115"/>
    </row>
    <row r="470" spans="2:12" s="112" customFormat="1" ht="12.75" x14ac:dyDescent="0.2">
      <c r="B470" s="113"/>
      <c r="C470" s="113"/>
      <c r="D470" s="114"/>
      <c r="E470" s="113"/>
      <c r="F470" s="113"/>
      <c r="G470" s="113"/>
      <c r="H470" s="113"/>
      <c r="I470" s="113"/>
      <c r="J470" s="113"/>
      <c r="K470" s="113"/>
      <c r="L470" s="115"/>
    </row>
    <row r="471" spans="2:12" s="112" customFormat="1" ht="12.75" x14ac:dyDescent="0.2">
      <c r="B471" s="113"/>
      <c r="C471" s="113"/>
      <c r="D471" s="114"/>
      <c r="E471" s="113"/>
      <c r="F471" s="113"/>
      <c r="G471" s="113"/>
      <c r="H471" s="113"/>
      <c r="I471" s="113"/>
      <c r="J471" s="113"/>
      <c r="K471" s="113"/>
      <c r="L471" s="115"/>
    </row>
    <row r="472" spans="2:12" s="112" customFormat="1" ht="12.75" x14ac:dyDescent="0.2">
      <c r="B472" s="113"/>
      <c r="C472" s="113"/>
      <c r="D472" s="114"/>
      <c r="E472" s="113"/>
      <c r="F472" s="113"/>
      <c r="G472" s="113"/>
      <c r="H472" s="113"/>
      <c r="I472" s="113"/>
      <c r="J472" s="113"/>
      <c r="K472" s="113"/>
      <c r="L472" s="115"/>
    </row>
    <row r="473" spans="2:12" s="112" customFormat="1" ht="12.75" x14ac:dyDescent="0.2">
      <c r="B473" s="113"/>
      <c r="C473" s="113"/>
      <c r="D473" s="114"/>
      <c r="E473" s="113"/>
      <c r="F473" s="113"/>
      <c r="G473" s="113"/>
      <c r="H473" s="113"/>
      <c r="I473" s="113"/>
      <c r="J473" s="113"/>
      <c r="K473" s="113"/>
      <c r="L473" s="115"/>
    </row>
    <row r="474" spans="2:12" s="112" customFormat="1" ht="12.75" x14ac:dyDescent="0.2">
      <c r="B474" s="113"/>
      <c r="C474" s="113"/>
      <c r="D474" s="114"/>
      <c r="E474" s="113"/>
      <c r="F474" s="113"/>
      <c r="G474" s="113"/>
      <c r="H474" s="113"/>
      <c r="I474" s="113"/>
      <c r="J474" s="113"/>
      <c r="K474" s="113"/>
      <c r="L474" s="115"/>
    </row>
    <row r="475" spans="2:12" s="112" customFormat="1" ht="12.75" x14ac:dyDescent="0.2">
      <c r="B475" s="113"/>
      <c r="C475" s="113"/>
      <c r="D475" s="114"/>
      <c r="E475" s="113"/>
      <c r="F475" s="113"/>
      <c r="G475" s="113"/>
      <c r="H475" s="113"/>
      <c r="I475" s="113"/>
      <c r="J475" s="113"/>
      <c r="K475" s="113"/>
      <c r="L475" s="115"/>
    </row>
    <row r="476" spans="2:12" s="112" customFormat="1" ht="12.75" x14ac:dyDescent="0.2">
      <c r="B476" s="113"/>
      <c r="C476" s="113"/>
      <c r="D476" s="114"/>
      <c r="E476" s="113"/>
      <c r="F476" s="113"/>
      <c r="G476" s="113"/>
      <c r="H476" s="113"/>
      <c r="I476" s="113"/>
      <c r="J476" s="113"/>
      <c r="K476" s="113"/>
      <c r="L476" s="115"/>
    </row>
    <row r="477" spans="2:12" s="112" customFormat="1" ht="12.75" x14ac:dyDescent="0.2">
      <c r="B477" s="113"/>
      <c r="C477" s="113"/>
      <c r="D477" s="114"/>
      <c r="E477" s="113"/>
      <c r="F477" s="113"/>
      <c r="G477" s="113"/>
      <c r="H477" s="113"/>
      <c r="I477" s="113"/>
      <c r="J477" s="113"/>
      <c r="K477" s="113"/>
      <c r="L477" s="115"/>
    </row>
    <row r="478" spans="2:12" s="112" customFormat="1" ht="12.75" x14ac:dyDescent="0.2">
      <c r="B478" s="113"/>
      <c r="C478" s="113"/>
      <c r="D478" s="114"/>
      <c r="E478" s="113"/>
      <c r="F478" s="113"/>
      <c r="G478" s="113"/>
      <c r="H478" s="113"/>
      <c r="I478" s="113"/>
      <c r="J478" s="113"/>
      <c r="K478" s="113"/>
      <c r="L478" s="115"/>
    </row>
    <row r="479" spans="2:12" s="112" customFormat="1" ht="12.75" x14ac:dyDescent="0.2">
      <c r="B479" s="113"/>
      <c r="C479" s="113"/>
      <c r="D479" s="114"/>
      <c r="E479" s="113"/>
      <c r="F479" s="113"/>
      <c r="G479" s="113"/>
      <c r="H479" s="113"/>
      <c r="I479" s="113"/>
      <c r="J479" s="113"/>
      <c r="K479" s="113"/>
      <c r="L479" s="115"/>
    </row>
    <row r="480" spans="2:12" s="112" customFormat="1" ht="12.75" x14ac:dyDescent="0.2">
      <c r="B480" s="113"/>
      <c r="C480" s="113"/>
      <c r="D480" s="114"/>
      <c r="E480" s="113"/>
      <c r="F480" s="113"/>
      <c r="G480" s="113"/>
      <c r="H480" s="113"/>
      <c r="I480" s="113"/>
      <c r="J480" s="113"/>
      <c r="K480" s="113"/>
      <c r="L480" s="115"/>
    </row>
    <row r="481" spans="2:12" s="112" customFormat="1" ht="12.75" x14ac:dyDescent="0.2">
      <c r="B481" s="113"/>
      <c r="C481" s="113"/>
      <c r="D481" s="114"/>
      <c r="E481" s="113"/>
      <c r="F481" s="113"/>
      <c r="G481" s="113"/>
      <c r="H481" s="113"/>
      <c r="I481" s="113"/>
      <c r="J481" s="113"/>
      <c r="K481" s="113"/>
      <c r="L481" s="115"/>
    </row>
    <row r="482" spans="2:12" s="112" customFormat="1" ht="12.75" x14ac:dyDescent="0.2">
      <c r="B482" s="113"/>
      <c r="C482" s="113"/>
      <c r="D482" s="114"/>
      <c r="E482" s="113"/>
      <c r="F482" s="113"/>
      <c r="G482" s="113"/>
      <c r="H482" s="113"/>
      <c r="I482" s="113"/>
      <c r="J482" s="113"/>
      <c r="K482" s="113"/>
      <c r="L482" s="115"/>
    </row>
    <row r="483" spans="2:12" s="112" customFormat="1" ht="12.75" x14ac:dyDescent="0.2">
      <c r="B483" s="113"/>
      <c r="C483" s="113"/>
      <c r="D483" s="114"/>
      <c r="E483" s="113"/>
      <c r="F483" s="113"/>
      <c r="G483" s="113"/>
      <c r="H483" s="113"/>
      <c r="I483" s="113"/>
      <c r="J483" s="113"/>
      <c r="K483" s="113"/>
      <c r="L483" s="115"/>
    </row>
    <row r="484" spans="2:12" s="112" customFormat="1" ht="12.75" x14ac:dyDescent="0.2">
      <c r="B484" s="113"/>
      <c r="C484" s="113"/>
      <c r="D484" s="114"/>
      <c r="E484" s="113"/>
      <c r="F484" s="113"/>
      <c r="G484" s="113"/>
      <c r="H484" s="113"/>
      <c r="I484" s="113"/>
      <c r="J484" s="113"/>
      <c r="K484" s="113"/>
      <c r="L484" s="115"/>
    </row>
    <row r="485" spans="2:12" s="112" customFormat="1" ht="12.75" x14ac:dyDescent="0.2">
      <c r="B485" s="113"/>
      <c r="C485" s="113"/>
      <c r="D485" s="114"/>
      <c r="E485" s="113"/>
      <c r="F485" s="113"/>
      <c r="G485" s="113"/>
      <c r="H485" s="113"/>
      <c r="I485" s="113"/>
      <c r="J485" s="113"/>
      <c r="K485" s="113"/>
      <c r="L485" s="115"/>
    </row>
    <row r="486" spans="2:12" s="112" customFormat="1" ht="12.75" x14ac:dyDescent="0.2">
      <c r="B486" s="113"/>
      <c r="C486" s="113"/>
      <c r="D486" s="114"/>
      <c r="E486" s="113"/>
      <c r="F486" s="113"/>
      <c r="G486" s="113"/>
      <c r="H486" s="113"/>
      <c r="I486" s="113"/>
      <c r="J486" s="113"/>
      <c r="K486" s="113"/>
      <c r="L486" s="115"/>
    </row>
    <row r="487" spans="2:12" s="112" customFormat="1" ht="12.75" x14ac:dyDescent="0.2">
      <c r="B487" s="113"/>
      <c r="C487" s="113"/>
      <c r="D487" s="114"/>
      <c r="E487" s="113"/>
      <c r="F487" s="113"/>
      <c r="G487" s="113"/>
      <c r="H487" s="113"/>
      <c r="I487" s="113"/>
      <c r="J487" s="113"/>
      <c r="K487" s="113"/>
      <c r="L487" s="115"/>
    </row>
    <row r="488" spans="2:12" s="112" customFormat="1" ht="12.75" x14ac:dyDescent="0.2">
      <c r="B488" s="113"/>
      <c r="C488" s="113"/>
      <c r="D488" s="114"/>
      <c r="E488" s="113"/>
      <c r="F488" s="113"/>
      <c r="G488" s="113"/>
      <c r="H488" s="113"/>
      <c r="I488" s="113"/>
      <c r="J488" s="113"/>
      <c r="K488" s="113"/>
      <c r="L488" s="115"/>
    </row>
    <row r="489" spans="2:12" s="112" customFormat="1" ht="12.75" x14ac:dyDescent="0.2">
      <c r="B489" s="113"/>
      <c r="C489" s="113"/>
      <c r="D489" s="114"/>
      <c r="E489" s="113"/>
      <c r="F489" s="113"/>
      <c r="G489" s="113"/>
      <c r="H489" s="113"/>
      <c r="I489" s="113"/>
      <c r="J489" s="113"/>
      <c r="K489" s="113"/>
      <c r="L489" s="115"/>
    </row>
    <row r="490" spans="2:12" s="112" customFormat="1" ht="12.75" x14ac:dyDescent="0.2">
      <c r="B490" s="113"/>
      <c r="C490" s="113"/>
      <c r="D490" s="114"/>
      <c r="E490" s="113"/>
      <c r="F490" s="113"/>
      <c r="G490" s="113"/>
      <c r="H490" s="113"/>
      <c r="I490" s="113"/>
      <c r="J490" s="113"/>
      <c r="K490" s="113"/>
      <c r="L490" s="115"/>
    </row>
    <row r="491" spans="2:12" s="112" customFormat="1" ht="12.75" x14ac:dyDescent="0.2">
      <c r="B491" s="113"/>
      <c r="C491" s="113"/>
      <c r="D491" s="114"/>
      <c r="E491" s="113"/>
      <c r="F491" s="113"/>
      <c r="G491" s="113"/>
      <c r="H491" s="113"/>
      <c r="I491" s="113"/>
      <c r="J491" s="113"/>
      <c r="K491" s="113"/>
      <c r="L491" s="115"/>
    </row>
    <row r="492" spans="2:12" s="112" customFormat="1" ht="12.75" x14ac:dyDescent="0.2">
      <c r="B492" s="113"/>
      <c r="C492" s="113"/>
      <c r="D492" s="114"/>
      <c r="E492" s="113"/>
      <c r="F492" s="113"/>
      <c r="G492" s="113"/>
      <c r="H492" s="113"/>
      <c r="I492" s="113"/>
      <c r="J492" s="113"/>
      <c r="K492" s="113"/>
      <c r="L492" s="115"/>
    </row>
    <row r="493" spans="2:12" s="112" customFormat="1" ht="12.75" x14ac:dyDescent="0.2">
      <c r="B493" s="113"/>
      <c r="C493" s="113"/>
      <c r="D493" s="114"/>
      <c r="E493" s="113"/>
      <c r="F493" s="113"/>
      <c r="G493" s="113"/>
      <c r="H493" s="113"/>
      <c r="I493" s="113"/>
      <c r="J493" s="113"/>
      <c r="K493" s="113"/>
      <c r="L493" s="115"/>
    </row>
    <row r="494" spans="2:12" s="112" customFormat="1" ht="12.75" x14ac:dyDescent="0.2">
      <c r="B494" s="113"/>
      <c r="C494" s="113"/>
      <c r="D494" s="114"/>
      <c r="E494" s="113"/>
      <c r="F494" s="113"/>
      <c r="G494" s="113"/>
      <c r="H494" s="113"/>
      <c r="I494" s="113"/>
      <c r="J494" s="113"/>
      <c r="K494" s="113"/>
      <c r="L494" s="115"/>
    </row>
    <row r="495" spans="2:12" s="112" customFormat="1" ht="12.75" x14ac:dyDescent="0.2">
      <c r="B495" s="113"/>
      <c r="C495" s="113"/>
      <c r="D495" s="114"/>
      <c r="E495" s="113"/>
      <c r="F495" s="113"/>
      <c r="G495" s="113"/>
      <c r="H495" s="113"/>
      <c r="I495" s="113"/>
      <c r="J495" s="113"/>
      <c r="K495" s="113"/>
      <c r="L495" s="115"/>
    </row>
    <row r="496" spans="2:12" s="112" customFormat="1" ht="12.75" x14ac:dyDescent="0.2">
      <c r="B496" s="113"/>
      <c r="C496" s="113"/>
      <c r="D496" s="114"/>
      <c r="E496" s="113"/>
      <c r="F496" s="113"/>
      <c r="G496" s="113"/>
      <c r="H496" s="113"/>
      <c r="I496" s="113"/>
      <c r="J496" s="113"/>
      <c r="K496" s="113"/>
      <c r="L496" s="115"/>
    </row>
    <row r="497" spans="2:12" s="112" customFormat="1" ht="12.75" x14ac:dyDescent="0.2">
      <c r="B497" s="113"/>
      <c r="C497" s="113"/>
      <c r="D497" s="114"/>
      <c r="E497" s="113"/>
      <c r="F497" s="113"/>
      <c r="G497" s="113"/>
      <c r="H497" s="113"/>
      <c r="I497" s="113"/>
      <c r="J497" s="113"/>
      <c r="K497" s="113"/>
      <c r="L497" s="115"/>
    </row>
    <row r="498" spans="2:12" s="112" customFormat="1" ht="12.75" x14ac:dyDescent="0.2">
      <c r="B498" s="113"/>
      <c r="C498" s="113"/>
      <c r="D498" s="114"/>
      <c r="E498" s="113"/>
      <c r="F498" s="113"/>
      <c r="G498" s="113"/>
      <c r="H498" s="113"/>
      <c r="I498" s="113"/>
      <c r="J498" s="113"/>
      <c r="K498" s="113"/>
      <c r="L498" s="115"/>
    </row>
    <row r="499" spans="2:12" s="112" customFormat="1" ht="12.75" x14ac:dyDescent="0.2">
      <c r="B499" s="113"/>
      <c r="C499" s="113"/>
      <c r="D499" s="114"/>
      <c r="E499" s="113"/>
      <c r="F499" s="113"/>
      <c r="G499" s="113"/>
      <c r="H499" s="113"/>
      <c r="I499" s="113"/>
      <c r="J499" s="113"/>
      <c r="K499" s="113"/>
      <c r="L499" s="115"/>
    </row>
    <row r="500" spans="2:12" s="112" customFormat="1" ht="12.75" x14ac:dyDescent="0.2">
      <c r="B500" s="113"/>
      <c r="C500" s="113"/>
      <c r="D500" s="114"/>
      <c r="E500" s="113"/>
      <c r="F500" s="113"/>
      <c r="G500" s="113"/>
      <c r="H500" s="113"/>
      <c r="I500" s="113"/>
      <c r="J500" s="113"/>
      <c r="K500" s="113"/>
      <c r="L500" s="115"/>
    </row>
    <row r="501" spans="2:12" s="112" customFormat="1" ht="12.75" x14ac:dyDescent="0.2">
      <c r="B501" s="113"/>
      <c r="C501" s="113"/>
      <c r="D501" s="114"/>
      <c r="E501" s="113"/>
      <c r="F501" s="113"/>
      <c r="G501" s="113"/>
      <c r="H501" s="113"/>
      <c r="I501" s="113"/>
      <c r="J501" s="113"/>
      <c r="K501" s="113"/>
      <c r="L501" s="115"/>
    </row>
    <row r="502" spans="2:12" s="112" customFormat="1" ht="12.75" x14ac:dyDescent="0.2">
      <c r="B502" s="113"/>
      <c r="C502" s="113"/>
      <c r="D502" s="114"/>
      <c r="E502" s="113"/>
      <c r="F502" s="113"/>
      <c r="G502" s="113"/>
      <c r="H502" s="113"/>
      <c r="I502" s="113"/>
      <c r="J502" s="113"/>
      <c r="K502" s="113"/>
      <c r="L502" s="115"/>
    </row>
    <row r="503" spans="2:12" s="112" customFormat="1" ht="12.75" x14ac:dyDescent="0.2">
      <c r="B503" s="113"/>
      <c r="C503" s="113"/>
      <c r="D503" s="114"/>
      <c r="E503" s="113"/>
      <c r="F503" s="113"/>
      <c r="G503" s="113"/>
      <c r="H503" s="113"/>
      <c r="I503" s="113"/>
      <c r="J503" s="113"/>
      <c r="K503" s="113"/>
      <c r="L503" s="115"/>
    </row>
    <row r="504" spans="2:12" s="112" customFormat="1" ht="12.75" x14ac:dyDescent="0.2">
      <c r="B504" s="113"/>
      <c r="C504" s="113"/>
      <c r="D504" s="114"/>
      <c r="E504" s="113"/>
      <c r="F504" s="113"/>
      <c r="G504" s="113"/>
      <c r="H504" s="113"/>
      <c r="I504" s="113"/>
      <c r="J504" s="113"/>
      <c r="K504" s="113"/>
      <c r="L504" s="115"/>
    </row>
    <row r="505" spans="2:12" s="112" customFormat="1" ht="12.75" x14ac:dyDescent="0.2">
      <c r="B505" s="113"/>
      <c r="C505" s="113"/>
      <c r="D505" s="114"/>
      <c r="E505" s="113"/>
      <c r="F505" s="113"/>
      <c r="G505" s="113"/>
      <c r="H505" s="113"/>
      <c r="I505" s="113"/>
      <c r="J505" s="113"/>
      <c r="K505" s="113"/>
      <c r="L505" s="115"/>
    </row>
    <row r="506" spans="2:12" s="112" customFormat="1" ht="12.75" x14ac:dyDescent="0.2">
      <c r="B506" s="113"/>
      <c r="C506" s="113"/>
      <c r="D506" s="114"/>
      <c r="E506" s="113"/>
      <c r="F506" s="113"/>
      <c r="G506" s="113"/>
      <c r="H506" s="113"/>
      <c r="I506" s="113"/>
      <c r="J506" s="113"/>
      <c r="K506" s="113"/>
      <c r="L506" s="115"/>
    </row>
    <row r="507" spans="2:12" s="112" customFormat="1" ht="12.75" x14ac:dyDescent="0.2">
      <c r="B507" s="113"/>
      <c r="C507" s="113"/>
      <c r="D507" s="114"/>
      <c r="E507" s="113"/>
      <c r="F507" s="113"/>
      <c r="G507" s="113"/>
      <c r="H507" s="113"/>
      <c r="I507" s="113"/>
      <c r="J507" s="113"/>
      <c r="K507" s="113"/>
      <c r="L507" s="115"/>
    </row>
    <row r="508" spans="2:12" s="112" customFormat="1" ht="12.75" x14ac:dyDescent="0.2">
      <c r="B508" s="113"/>
      <c r="C508" s="113"/>
      <c r="D508" s="114"/>
      <c r="E508" s="113"/>
      <c r="F508" s="113"/>
      <c r="G508" s="113"/>
      <c r="H508" s="113"/>
      <c r="I508" s="113"/>
      <c r="J508" s="113"/>
      <c r="K508" s="113"/>
      <c r="L508" s="115"/>
    </row>
    <row r="509" spans="2:12" s="112" customFormat="1" ht="12.75" x14ac:dyDescent="0.2">
      <c r="B509" s="113"/>
      <c r="C509" s="113"/>
      <c r="D509" s="114"/>
      <c r="E509" s="113"/>
      <c r="F509" s="113"/>
      <c r="G509" s="113"/>
      <c r="H509" s="113"/>
      <c r="I509" s="113"/>
      <c r="J509" s="113"/>
      <c r="K509" s="113"/>
      <c r="L509" s="115"/>
    </row>
    <row r="510" spans="2:12" s="112" customFormat="1" ht="12.75" x14ac:dyDescent="0.2">
      <c r="B510" s="113"/>
      <c r="C510" s="113"/>
      <c r="D510" s="114"/>
      <c r="E510" s="113"/>
      <c r="F510" s="113"/>
      <c r="G510" s="113"/>
      <c r="H510" s="113"/>
      <c r="I510" s="113"/>
      <c r="J510" s="113"/>
      <c r="K510" s="113"/>
      <c r="L510" s="115"/>
    </row>
    <row r="511" spans="2:12" s="112" customFormat="1" ht="12.75" x14ac:dyDescent="0.2">
      <c r="B511" s="113"/>
      <c r="C511" s="113"/>
      <c r="D511" s="114"/>
      <c r="E511" s="113"/>
      <c r="F511" s="113"/>
      <c r="G511" s="113"/>
      <c r="H511" s="113"/>
      <c r="I511" s="113"/>
      <c r="J511" s="113"/>
      <c r="K511" s="113"/>
      <c r="L511" s="115"/>
    </row>
    <row r="512" spans="2:12" s="112" customFormat="1" ht="12.75" x14ac:dyDescent="0.2">
      <c r="B512" s="113"/>
      <c r="C512" s="113"/>
      <c r="D512" s="114"/>
      <c r="E512" s="113"/>
      <c r="F512" s="113"/>
      <c r="G512" s="113"/>
      <c r="H512" s="113"/>
      <c r="I512" s="113"/>
      <c r="J512" s="113"/>
      <c r="K512" s="113"/>
      <c r="L512" s="115"/>
    </row>
    <row r="513" spans="2:12" s="112" customFormat="1" ht="12.75" x14ac:dyDescent="0.2">
      <c r="B513" s="113"/>
      <c r="C513" s="113"/>
      <c r="D513" s="114"/>
      <c r="E513" s="113"/>
      <c r="F513" s="113"/>
      <c r="G513" s="113"/>
      <c r="H513" s="113"/>
      <c r="I513" s="113"/>
      <c r="J513" s="113"/>
      <c r="K513" s="113"/>
      <c r="L513" s="115"/>
    </row>
    <row r="514" spans="2:12" s="112" customFormat="1" ht="12.75" x14ac:dyDescent="0.2">
      <c r="B514" s="113"/>
      <c r="C514" s="113"/>
      <c r="D514" s="114"/>
      <c r="E514" s="113"/>
      <c r="F514" s="113"/>
      <c r="G514" s="113"/>
      <c r="H514" s="113"/>
      <c r="I514" s="113"/>
      <c r="J514" s="113"/>
      <c r="K514" s="113"/>
      <c r="L514" s="115"/>
    </row>
    <row r="515" spans="2:12" s="112" customFormat="1" ht="12.75" x14ac:dyDescent="0.2">
      <c r="B515" s="113"/>
      <c r="C515" s="113"/>
      <c r="D515" s="114"/>
      <c r="E515" s="113"/>
      <c r="F515" s="113"/>
      <c r="G515" s="113"/>
      <c r="H515" s="113"/>
      <c r="I515" s="113"/>
      <c r="J515" s="113"/>
      <c r="K515" s="113"/>
      <c r="L515" s="115"/>
    </row>
    <row r="516" spans="2:12" s="112" customFormat="1" ht="12.75" x14ac:dyDescent="0.2">
      <c r="B516" s="113"/>
      <c r="C516" s="113"/>
      <c r="D516" s="114"/>
      <c r="E516" s="113"/>
      <c r="F516" s="113"/>
      <c r="G516" s="113"/>
      <c r="H516" s="113"/>
      <c r="I516" s="113"/>
      <c r="J516" s="113"/>
      <c r="K516" s="113"/>
      <c r="L516" s="115"/>
    </row>
    <row r="517" spans="2:12" s="112" customFormat="1" ht="12.75" x14ac:dyDescent="0.2">
      <c r="B517" s="113"/>
      <c r="C517" s="113"/>
      <c r="D517" s="114"/>
      <c r="E517" s="113"/>
      <c r="F517" s="113"/>
      <c r="G517" s="113"/>
      <c r="H517" s="113"/>
      <c r="I517" s="113"/>
      <c r="J517" s="113"/>
      <c r="K517" s="113"/>
      <c r="L517" s="115"/>
    </row>
    <row r="518" spans="2:12" s="112" customFormat="1" ht="12.75" x14ac:dyDescent="0.2">
      <c r="B518" s="113"/>
      <c r="C518" s="113"/>
      <c r="D518" s="114"/>
      <c r="E518" s="113"/>
      <c r="F518" s="113"/>
      <c r="G518" s="113"/>
      <c r="H518" s="113"/>
      <c r="I518" s="113"/>
      <c r="J518" s="113"/>
      <c r="K518" s="113"/>
      <c r="L518" s="115"/>
    </row>
    <row r="519" spans="2:12" s="112" customFormat="1" ht="12.75" x14ac:dyDescent="0.2">
      <c r="B519" s="113"/>
      <c r="C519" s="113"/>
      <c r="D519" s="114"/>
      <c r="E519" s="113"/>
      <c r="F519" s="113"/>
      <c r="G519" s="113"/>
      <c r="H519" s="113"/>
      <c r="I519" s="113"/>
      <c r="J519" s="113"/>
      <c r="K519" s="113"/>
      <c r="L519" s="115"/>
    </row>
    <row r="520" spans="2:12" s="112" customFormat="1" ht="12.75" x14ac:dyDescent="0.2">
      <c r="B520" s="113"/>
      <c r="C520" s="113"/>
      <c r="D520" s="114"/>
      <c r="E520" s="113"/>
      <c r="F520" s="113"/>
      <c r="G520" s="113"/>
      <c r="H520" s="113"/>
      <c r="I520" s="113"/>
      <c r="J520" s="113"/>
      <c r="K520" s="113"/>
      <c r="L520" s="115"/>
    </row>
    <row r="521" spans="2:12" s="112" customFormat="1" ht="12.75" x14ac:dyDescent="0.2">
      <c r="B521" s="113"/>
      <c r="C521" s="113"/>
      <c r="D521" s="114"/>
      <c r="E521" s="113"/>
      <c r="F521" s="113"/>
      <c r="G521" s="113"/>
      <c r="H521" s="113"/>
      <c r="I521" s="113"/>
      <c r="J521" s="113"/>
      <c r="K521" s="113"/>
      <c r="L521" s="115"/>
    </row>
    <row r="522" spans="2:12" s="112" customFormat="1" ht="12.75" x14ac:dyDescent="0.2">
      <c r="B522" s="113"/>
      <c r="C522" s="113"/>
      <c r="D522" s="114"/>
      <c r="E522" s="113"/>
      <c r="F522" s="113"/>
      <c r="G522" s="113"/>
      <c r="H522" s="113"/>
      <c r="I522" s="113"/>
      <c r="J522" s="113"/>
      <c r="K522" s="113"/>
      <c r="L522" s="115"/>
    </row>
    <row r="523" spans="2:12" s="112" customFormat="1" ht="12.75" x14ac:dyDescent="0.2">
      <c r="B523" s="113"/>
      <c r="C523" s="113"/>
      <c r="D523" s="114"/>
      <c r="E523" s="113"/>
      <c r="F523" s="113"/>
      <c r="G523" s="113"/>
      <c r="H523" s="113"/>
      <c r="I523" s="113"/>
      <c r="J523" s="113"/>
      <c r="K523" s="113"/>
      <c r="L523" s="115"/>
    </row>
    <row r="524" spans="2:12" s="112" customFormat="1" ht="12.75" x14ac:dyDescent="0.2">
      <c r="B524" s="113"/>
      <c r="C524" s="113"/>
      <c r="D524" s="114"/>
      <c r="E524" s="113"/>
      <c r="F524" s="113"/>
      <c r="G524" s="113"/>
      <c r="H524" s="113"/>
      <c r="I524" s="113"/>
      <c r="J524" s="113"/>
      <c r="K524" s="113"/>
      <c r="L524" s="115"/>
    </row>
    <row r="525" spans="2:12" s="112" customFormat="1" ht="12.75" x14ac:dyDescent="0.2">
      <c r="B525" s="113"/>
      <c r="C525" s="113"/>
      <c r="D525" s="114"/>
      <c r="E525" s="113"/>
      <c r="F525" s="113"/>
      <c r="G525" s="113"/>
      <c r="H525" s="113"/>
      <c r="I525" s="113"/>
      <c r="J525" s="113"/>
      <c r="K525" s="113"/>
      <c r="L525" s="115"/>
    </row>
    <row r="526" spans="2:12" s="112" customFormat="1" ht="12.75" x14ac:dyDescent="0.2">
      <c r="B526" s="113"/>
      <c r="C526" s="113"/>
      <c r="D526" s="114"/>
      <c r="E526" s="113"/>
      <c r="F526" s="113"/>
      <c r="G526" s="113"/>
      <c r="H526" s="113"/>
      <c r="I526" s="113"/>
      <c r="J526" s="113"/>
      <c r="K526" s="113"/>
      <c r="L526" s="115"/>
    </row>
    <row r="527" spans="2:12" s="112" customFormat="1" ht="12.75" x14ac:dyDescent="0.2">
      <c r="B527" s="113"/>
      <c r="C527" s="113"/>
      <c r="D527" s="114"/>
      <c r="E527" s="113"/>
      <c r="F527" s="113"/>
      <c r="G527" s="113"/>
      <c r="H527" s="113"/>
      <c r="I527" s="113"/>
      <c r="J527" s="113"/>
      <c r="K527" s="113"/>
      <c r="L527" s="115"/>
    </row>
    <row r="528" spans="2:12" s="112" customFormat="1" ht="12.75" x14ac:dyDescent="0.2">
      <c r="B528" s="113"/>
      <c r="C528" s="113"/>
      <c r="D528" s="114"/>
      <c r="E528" s="113"/>
      <c r="F528" s="113"/>
      <c r="G528" s="113"/>
      <c r="H528" s="113"/>
      <c r="I528" s="113"/>
      <c r="J528" s="113"/>
      <c r="K528" s="113"/>
      <c r="L528" s="115"/>
    </row>
    <row r="529" spans="2:12" s="112" customFormat="1" ht="12.75" x14ac:dyDescent="0.2">
      <c r="B529" s="113"/>
      <c r="C529" s="113"/>
      <c r="D529" s="114"/>
      <c r="E529" s="113"/>
      <c r="F529" s="113"/>
      <c r="G529" s="113"/>
      <c r="H529" s="113"/>
      <c r="I529" s="113"/>
      <c r="J529" s="113"/>
      <c r="K529" s="113"/>
      <c r="L529" s="115"/>
    </row>
    <row r="530" spans="2:12" s="112" customFormat="1" ht="12.75" x14ac:dyDescent="0.2">
      <c r="B530" s="113"/>
      <c r="C530" s="113"/>
      <c r="D530" s="114"/>
      <c r="E530" s="113"/>
      <c r="F530" s="113"/>
      <c r="G530" s="113"/>
      <c r="H530" s="113"/>
      <c r="I530" s="113"/>
      <c r="J530" s="113"/>
      <c r="K530" s="113"/>
      <c r="L530" s="115"/>
    </row>
    <row r="531" spans="2:12" s="112" customFormat="1" ht="12.75" x14ac:dyDescent="0.2">
      <c r="B531" s="113"/>
      <c r="C531" s="113"/>
      <c r="D531" s="114"/>
      <c r="E531" s="113"/>
      <c r="F531" s="113"/>
      <c r="G531" s="113"/>
      <c r="H531" s="113"/>
      <c r="I531" s="113"/>
      <c r="J531" s="113"/>
      <c r="K531" s="113"/>
      <c r="L531" s="115"/>
    </row>
    <row r="532" spans="2:12" s="112" customFormat="1" ht="12.75" x14ac:dyDescent="0.2">
      <c r="B532" s="113"/>
      <c r="C532" s="113"/>
      <c r="D532" s="114"/>
      <c r="E532" s="113"/>
      <c r="F532" s="113"/>
      <c r="G532" s="113"/>
      <c r="H532" s="113"/>
      <c r="I532" s="113"/>
      <c r="J532" s="113"/>
      <c r="K532" s="113"/>
      <c r="L532" s="115"/>
    </row>
    <row r="533" spans="2:12" s="112" customFormat="1" ht="12.75" x14ac:dyDescent="0.2">
      <c r="B533" s="113"/>
      <c r="C533" s="113"/>
      <c r="D533" s="114"/>
      <c r="E533" s="113"/>
      <c r="F533" s="113"/>
      <c r="G533" s="113"/>
      <c r="H533" s="113"/>
      <c r="I533" s="113"/>
      <c r="J533" s="113"/>
      <c r="K533" s="113"/>
      <c r="L533" s="115"/>
    </row>
    <row r="534" spans="2:12" s="112" customFormat="1" ht="12.75" x14ac:dyDescent="0.2">
      <c r="B534" s="113"/>
      <c r="C534" s="113"/>
      <c r="D534" s="114"/>
      <c r="E534" s="113"/>
      <c r="F534" s="113"/>
      <c r="G534" s="113"/>
      <c r="H534" s="113"/>
      <c r="I534" s="113"/>
      <c r="J534" s="113"/>
      <c r="K534" s="113"/>
      <c r="L534" s="115"/>
    </row>
    <row r="535" spans="2:12" s="112" customFormat="1" ht="12.75" x14ac:dyDescent="0.2">
      <c r="B535" s="113"/>
      <c r="C535" s="113"/>
      <c r="D535" s="114"/>
      <c r="E535" s="113"/>
      <c r="F535" s="113"/>
      <c r="G535" s="113"/>
      <c r="H535" s="113"/>
      <c r="I535" s="113"/>
      <c r="J535" s="113"/>
      <c r="K535" s="113"/>
      <c r="L535" s="115"/>
    </row>
    <row r="536" spans="2:12" s="112" customFormat="1" ht="12.75" x14ac:dyDescent="0.2">
      <c r="B536" s="113"/>
      <c r="C536" s="113"/>
      <c r="D536" s="114"/>
      <c r="E536" s="113"/>
      <c r="F536" s="113"/>
      <c r="G536" s="113"/>
      <c r="H536" s="113"/>
      <c r="I536" s="113"/>
      <c r="J536" s="113"/>
      <c r="K536" s="113"/>
      <c r="L536" s="115"/>
    </row>
    <row r="537" spans="2:12" s="112" customFormat="1" ht="12.75" x14ac:dyDescent="0.2">
      <c r="B537" s="113"/>
      <c r="C537" s="113"/>
      <c r="D537" s="114"/>
      <c r="E537" s="113"/>
      <c r="F537" s="113"/>
      <c r="G537" s="113"/>
      <c r="H537" s="113"/>
      <c r="I537" s="113"/>
      <c r="J537" s="113"/>
      <c r="K537" s="113"/>
      <c r="L537" s="115"/>
    </row>
    <row r="538" spans="2:12" s="112" customFormat="1" ht="12.75" x14ac:dyDescent="0.2">
      <c r="B538" s="113"/>
      <c r="C538" s="113"/>
      <c r="D538" s="114"/>
      <c r="E538" s="113"/>
      <c r="F538" s="113"/>
      <c r="G538" s="113"/>
      <c r="H538" s="113"/>
      <c r="I538" s="113"/>
      <c r="J538" s="113"/>
      <c r="K538" s="113"/>
      <c r="L538" s="115"/>
    </row>
    <row r="539" spans="2:12" s="112" customFormat="1" ht="12.75" x14ac:dyDescent="0.2">
      <c r="B539" s="113"/>
      <c r="C539" s="113"/>
      <c r="D539" s="114"/>
      <c r="E539" s="113"/>
      <c r="F539" s="113"/>
      <c r="G539" s="113"/>
      <c r="H539" s="113"/>
      <c r="I539" s="113"/>
      <c r="J539" s="113"/>
      <c r="K539" s="113"/>
      <c r="L539" s="115"/>
    </row>
    <row r="540" spans="2:12" s="112" customFormat="1" ht="12.75" x14ac:dyDescent="0.2">
      <c r="B540" s="113"/>
      <c r="C540" s="113"/>
      <c r="D540" s="114"/>
      <c r="E540" s="113"/>
      <c r="F540" s="113"/>
      <c r="G540" s="113"/>
      <c r="H540" s="113"/>
      <c r="I540" s="113"/>
      <c r="J540" s="113"/>
      <c r="K540" s="113"/>
      <c r="L540" s="115"/>
    </row>
    <row r="541" spans="2:12" s="112" customFormat="1" ht="12.75" x14ac:dyDescent="0.2">
      <c r="B541" s="113"/>
      <c r="C541" s="113"/>
      <c r="D541" s="114"/>
      <c r="E541" s="113"/>
      <c r="F541" s="113"/>
      <c r="G541" s="113"/>
      <c r="H541" s="113"/>
      <c r="I541" s="113"/>
      <c r="J541" s="113"/>
      <c r="K541" s="113"/>
      <c r="L541" s="115"/>
    </row>
    <row r="542" spans="2:12" s="112" customFormat="1" ht="12.75" x14ac:dyDescent="0.2">
      <c r="B542" s="113"/>
      <c r="C542" s="113"/>
      <c r="D542" s="114"/>
      <c r="E542" s="113"/>
      <c r="F542" s="113"/>
      <c r="G542" s="113"/>
      <c r="H542" s="113"/>
      <c r="I542" s="113"/>
      <c r="J542" s="113"/>
      <c r="K542" s="113"/>
      <c r="L542" s="115"/>
    </row>
    <row r="543" spans="2:12" s="112" customFormat="1" ht="12.75" x14ac:dyDescent="0.2">
      <c r="B543" s="113"/>
      <c r="C543" s="113"/>
      <c r="D543" s="114"/>
      <c r="E543" s="113"/>
      <c r="F543" s="113"/>
      <c r="G543" s="113"/>
      <c r="H543" s="113"/>
      <c r="I543" s="113"/>
      <c r="J543" s="113"/>
      <c r="K543" s="113"/>
      <c r="L543" s="115"/>
    </row>
    <row r="544" spans="2:12" s="112" customFormat="1" ht="12.75" x14ac:dyDescent="0.2">
      <c r="B544" s="113"/>
      <c r="C544" s="113"/>
      <c r="D544" s="114"/>
      <c r="E544" s="113"/>
      <c r="F544" s="113"/>
      <c r="G544" s="113"/>
      <c r="H544" s="113"/>
      <c r="I544" s="113"/>
      <c r="J544" s="113"/>
      <c r="K544" s="113"/>
      <c r="L544" s="115"/>
    </row>
    <row r="545" spans="2:12" s="112" customFormat="1" ht="12.75" x14ac:dyDescent="0.2">
      <c r="B545" s="113"/>
      <c r="C545" s="113"/>
      <c r="D545" s="114"/>
      <c r="E545" s="113"/>
      <c r="F545" s="113"/>
      <c r="G545" s="113"/>
      <c r="H545" s="113"/>
      <c r="I545" s="113"/>
      <c r="J545" s="113"/>
      <c r="K545" s="113"/>
      <c r="L545" s="115"/>
    </row>
    <row r="546" spans="2:12" s="112" customFormat="1" ht="12.75" x14ac:dyDescent="0.2">
      <c r="B546" s="113"/>
      <c r="C546" s="113"/>
      <c r="D546" s="114"/>
      <c r="E546" s="113"/>
      <c r="F546" s="113"/>
      <c r="G546" s="113"/>
      <c r="H546" s="113"/>
      <c r="I546" s="113"/>
      <c r="J546" s="113"/>
      <c r="K546" s="113"/>
      <c r="L546" s="115"/>
    </row>
    <row r="547" spans="2:12" s="112" customFormat="1" ht="12.75" x14ac:dyDescent="0.2">
      <c r="B547" s="113"/>
      <c r="C547" s="113"/>
      <c r="D547" s="114"/>
      <c r="E547" s="113"/>
      <c r="F547" s="113"/>
      <c r="G547" s="113"/>
      <c r="H547" s="113"/>
      <c r="I547" s="113"/>
      <c r="J547" s="113"/>
      <c r="K547" s="113"/>
      <c r="L547" s="115"/>
    </row>
    <row r="548" spans="2:12" s="112" customFormat="1" ht="12.75" x14ac:dyDescent="0.2">
      <c r="B548" s="113"/>
      <c r="C548" s="113"/>
      <c r="D548" s="114"/>
      <c r="E548" s="113"/>
      <c r="F548" s="113"/>
      <c r="G548" s="113"/>
      <c r="H548" s="113"/>
      <c r="I548" s="113"/>
      <c r="J548" s="113"/>
      <c r="K548" s="113"/>
      <c r="L548" s="115"/>
    </row>
    <row r="549" spans="2:12" s="112" customFormat="1" ht="12.75" x14ac:dyDescent="0.2">
      <c r="B549" s="113"/>
      <c r="C549" s="113"/>
      <c r="D549" s="114"/>
      <c r="E549" s="113"/>
      <c r="F549" s="113"/>
      <c r="G549" s="113"/>
      <c r="H549" s="113"/>
      <c r="I549" s="113"/>
      <c r="J549" s="113"/>
      <c r="K549" s="113"/>
      <c r="L549" s="115"/>
    </row>
    <row r="550" spans="2:12" s="112" customFormat="1" ht="12.75" x14ac:dyDescent="0.2">
      <c r="B550" s="113"/>
      <c r="C550" s="113"/>
      <c r="D550" s="114"/>
      <c r="E550" s="113"/>
      <c r="F550" s="113"/>
      <c r="G550" s="113"/>
      <c r="H550" s="113"/>
      <c r="I550" s="113"/>
      <c r="J550" s="113"/>
      <c r="K550" s="113"/>
      <c r="L550" s="115"/>
    </row>
    <row r="551" spans="2:12" s="112" customFormat="1" ht="12.75" x14ac:dyDescent="0.2">
      <c r="B551" s="113"/>
      <c r="C551" s="113"/>
      <c r="D551" s="114"/>
      <c r="E551" s="113"/>
      <c r="F551" s="113"/>
      <c r="G551" s="113"/>
      <c r="H551" s="113"/>
      <c r="I551" s="113"/>
      <c r="J551" s="113"/>
      <c r="K551" s="113"/>
      <c r="L551" s="115"/>
    </row>
    <row r="552" spans="2:12" s="112" customFormat="1" ht="12.75" x14ac:dyDescent="0.2">
      <c r="B552" s="113"/>
      <c r="C552" s="113"/>
      <c r="D552" s="114"/>
      <c r="E552" s="113"/>
      <c r="F552" s="113"/>
      <c r="G552" s="113"/>
      <c r="H552" s="113"/>
      <c r="I552" s="113"/>
      <c r="J552" s="113"/>
      <c r="K552" s="113"/>
      <c r="L552" s="115"/>
    </row>
    <row r="553" spans="2:12" s="112" customFormat="1" ht="12.75" x14ac:dyDescent="0.2">
      <c r="B553" s="113"/>
      <c r="C553" s="113"/>
      <c r="D553" s="114"/>
      <c r="E553" s="113"/>
      <c r="F553" s="113"/>
      <c r="G553" s="113"/>
      <c r="H553" s="113"/>
      <c r="I553" s="113"/>
      <c r="J553" s="113"/>
      <c r="K553" s="113"/>
      <c r="L553" s="115"/>
    </row>
    <row r="554" spans="2:12" s="112" customFormat="1" ht="12.75" x14ac:dyDescent="0.2">
      <c r="B554" s="113"/>
      <c r="C554" s="113"/>
      <c r="D554" s="114"/>
      <c r="E554" s="113"/>
      <c r="F554" s="113"/>
      <c r="G554" s="113"/>
      <c r="H554" s="113"/>
      <c r="I554" s="113"/>
      <c r="J554" s="113"/>
      <c r="K554" s="113"/>
      <c r="L554" s="115"/>
    </row>
    <row r="555" spans="2:12" s="112" customFormat="1" ht="12.75" x14ac:dyDescent="0.2">
      <c r="B555" s="113"/>
      <c r="C555" s="113"/>
      <c r="D555" s="114"/>
      <c r="E555" s="113"/>
      <c r="F555" s="113"/>
      <c r="G555" s="113"/>
      <c r="H555" s="113"/>
      <c r="I555" s="113"/>
      <c r="J555" s="113"/>
      <c r="K555" s="113"/>
      <c r="L555" s="115"/>
    </row>
    <row r="556" spans="2:12" s="112" customFormat="1" ht="12.75" x14ac:dyDescent="0.2">
      <c r="B556" s="113"/>
      <c r="C556" s="113"/>
      <c r="D556" s="114"/>
      <c r="E556" s="113"/>
      <c r="F556" s="113"/>
      <c r="G556" s="113"/>
      <c r="H556" s="113"/>
      <c r="I556" s="113"/>
      <c r="J556" s="113"/>
      <c r="K556" s="113"/>
      <c r="L556" s="115"/>
    </row>
    <row r="557" spans="2:12" s="112" customFormat="1" ht="12.75" x14ac:dyDescent="0.2">
      <c r="B557" s="113"/>
      <c r="C557" s="113"/>
      <c r="D557" s="114"/>
      <c r="E557" s="113"/>
      <c r="F557" s="113"/>
      <c r="G557" s="113"/>
      <c r="H557" s="113"/>
      <c r="I557" s="113"/>
      <c r="J557" s="113"/>
      <c r="K557" s="113"/>
      <c r="L557" s="115"/>
    </row>
    <row r="558" spans="2:12" s="112" customFormat="1" ht="12.75" x14ac:dyDescent="0.2">
      <c r="B558" s="113"/>
      <c r="C558" s="113"/>
      <c r="D558" s="114"/>
      <c r="E558" s="113"/>
      <c r="F558" s="113"/>
      <c r="G558" s="113"/>
      <c r="H558" s="113"/>
      <c r="I558" s="113"/>
      <c r="J558" s="113"/>
      <c r="K558" s="113"/>
      <c r="L558" s="115"/>
    </row>
    <row r="559" spans="2:12" s="112" customFormat="1" ht="12.75" x14ac:dyDescent="0.2">
      <c r="B559" s="113"/>
      <c r="C559" s="113"/>
      <c r="D559" s="114"/>
      <c r="E559" s="113"/>
      <c r="F559" s="113"/>
      <c r="G559" s="113"/>
      <c r="H559" s="113"/>
      <c r="I559" s="113"/>
      <c r="J559" s="113"/>
      <c r="K559" s="113"/>
      <c r="L559" s="115"/>
    </row>
    <row r="560" spans="2:12" s="112" customFormat="1" ht="12.75" x14ac:dyDescent="0.2">
      <c r="B560" s="113"/>
      <c r="C560" s="113"/>
      <c r="D560" s="114"/>
      <c r="E560" s="113"/>
      <c r="F560" s="113"/>
      <c r="G560" s="113"/>
      <c r="H560" s="113"/>
      <c r="I560" s="113"/>
      <c r="J560" s="113"/>
      <c r="K560" s="113"/>
      <c r="L560" s="115"/>
    </row>
    <row r="561" spans="2:12" s="112" customFormat="1" ht="12.75" x14ac:dyDescent="0.2">
      <c r="B561" s="113"/>
      <c r="C561" s="113"/>
      <c r="D561" s="114"/>
      <c r="E561" s="113"/>
      <c r="F561" s="113"/>
      <c r="G561" s="113"/>
      <c r="H561" s="113"/>
      <c r="I561" s="113"/>
      <c r="J561" s="113"/>
      <c r="K561" s="113"/>
      <c r="L561" s="115"/>
    </row>
    <row r="562" spans="2:12" s="112" customFormat="1" ht="12.75" x14ac:dyDescent="0.2">
      <c r="B562" s="113"/>
      <c r="C562" s="113"/>
      <c r="D562" s="114"/>
      <c r="E562" s="113"/>
      <c r="F562" s="113"/>
      <c r="G562" s="113"/>
      <c r="H562" s="113"/>
      <c r="I562" s="113"/>
      <c r="J562" s="113"/>
      <c r="K562" s="113"/>
      <c r="L562" s="115"/>
    </row>
    <row r="563" spans="2:12" s="112" customFormat="1" ht="12.75" x14ac:dyDescent="0.2">
      <c r="B563" s="113"/>
      <c r="C563" s="113"/>
      <c r="D563" s="114"/>
      <c r="E563" s="113"/>
      <c r="F563" s="113"/>
      <c r="G563" s="113"/>
      <c r="H563" s="113"/>
      <c r="I563" s="113"/>
      <c r="J563" s="113"/>
      <c r="K563" s="113"/>
      <c r="L563" s="115"/>
    </row>
    <row r="564" spans="2:12" s="112" customFormat="1" ht="12.75" x14ac:dyDescent="0.2">
      <c r="B564" s="113"/>
      <c r="C564" s="113"/>
      <c r="D564" s="114"/>
      <c r="E564" s="113"/>
      <c r="F564" s="113"/>
      <c r="G564" s="113"/>
      <c r="H564" s="113"/>
      <c r="I564" s="113"/>
      <c r="J564" s="113"/>
      <c r="K564" s="113"/>
      <c r="L564" s="115"/>
    </row>
    <row r="565" spans="2:12" s="112" customFormat="1" ht="12.75" x14ac:dyDescent="0.2">
      <c r="B565" s="113"/>
      <c r="C565" s="113"/>
      <c r="D565" s="114"/>
      <c r="E565" s="113"/>
      <c r="F565" s="113"/>
      <c r="G565" s="113"/>
      <c r="H565" s="113"/>
      <c r="I565" s="113"/>
      <c r="J565" s="113"/>
      <c r="K565" s="113"/>
      <c r="L565" s="115"/>
    </row>
    <row r="566" spans="2:12" s="112" customFormat="1" ht="12.75" x14ac:dyDescent="0.2">
      <c r="B566" s="113"/>
      <c r="C566" s="113"/>
      <c r="D566" s="114"/>
      <c r="E566" s="113"/>
      <c r="F566" s="113"/>
      <c r="G566" s="113"/>
      <c r="H566" s="113"/>
      <c r="I566" s="113"/>
      <c r="J566" s="113"/>
      <c r="K566" s="113"/>
      <c r="L566" s="115"/>
    </row>
    <row r="567" spans="2:12" s="112" customFormat="1" ht="12.75" x14ac:dyDescent="0.2">
      <c r="B567" s="113"/>
      <c r="C567" s="113"/>
      <c r="D567" s="114"/>
      <c r="E567" s="113"/>
      <c r="F567" s="113"/>
      <c r="G567" s="113"/>
      <c r="H567" s="113"/>
      <c r="I567" s="113"/>
      <c r="J567" s="113"/>
      <c r="K567" s="113"/>
      <c r="L567" s="115"/>
    </row>
    <row r="568" spans="2:12" s="112" customFormat="1" ht="12.75" x14ac:dyDescent="0.2">
      <c r="B568" s="113"/>
      <c r="C568" s="113"/>
      <c r="D568" s="114"/>
      <c r="E568" s="113"/>
      <c r="F568" s="113"/>
      <c r="G568" s="113"/>
      <c r="H568" s="113"/>
      <c r="I568" s="113"/>
      <c r="J568" s="113"/>
      <c r="K568" s="113"/>
      <c r="L568" s="115"/>
    </row>
    <row r="569" spans="2:12" s="112" customFormat="1" ht="12.75" x14ac:dyDescent="0.2">
      <c r="B569" s="113"/>
      <c r="C569" s="113"/>
      <c r="D569" s="114"/>
      <c r="E569" s="113"/>
      <c r="F569" s="113"/>
      <c r="G569" s="113"/>
      <c r="H569" s="113"/>
      <c r="I569" s="113"/>
      <c r="J569" s="113"/>
      <c r="K569" s="113"/>
      <c r="L569" s="115"/>
    </row>
    <row r="570" spans="2:12" s="112" customFormat="1" ht="12.75" x14ac:dyDescent="0.2">
      <c r="B570" s="113"/>
      <c r="C570" s="113"/>
      <c r="D570" s="114"/>
      <c r="E570" s="113"/>
      <c r="F570" s="113"/>
      <c r="G570" s="113"/>
      <c r="H570" s="113"/>
      <c r="I570" s="113"/>
      <c r="J570" s="113"/>
      <c r="K570" s="113"/>
      <c r="L570" s="115"/>
    </row>
    <row r="571" spans="2:12" s="112" customFormat="1" ht="12.75" x14ac:dyDescent="0.2">
      <c r="B571" s="113"/>
      <c r="C571" s="113"/>
      <c r="D571" s="114"/>
      <c r="E571" s="113"/>
      <c r="F571" s="113"/>
      <c r="G571" s="113"/>
      <c r="H571" s="113"/>
      <c r="I571" s="113"/>
      <c r="J571" s="113"/>
      <c r="K571" s="113"/>
      <c r="L571" s="115"/>
    </row>
    <row r="572" spans="2:12" s="112" customFormat="1" ht="12.75" x14ac:dyDescent="0.2">
      <c r="B572" s="113"/>
      <c r="C572" s="113"/>
      <c r="D572" s="114"/>
      <c r="E572" s="113"/>
      <c r="F572" s="113"/>
      <c r="G572" s="113"/>
      <c r="H572" s="113"/>
      <c r="I572" s="113"/>
      <c r="J572" s="113"/>
      <c r="K572" s="113"/>
      <c r="L572" s="115"/>
    </row>
    <row r="573" spans="2:12" s="112" customFormat="1" ht="12.75" x14ac:dyDescent="0.2">
      <c r="B573" s="113"/>
      <c r="C573" s="113"/>
      <c r="D573" s="114"/>
      <c r="E573" s="113"/>
      <c r="F573" s="113"/>
      <c r="G573" s="113"/>
      <c r="H573" s="113"/>
      <c r="I573" s="113"/>
      <c r="J573" s="113"/>
      <c r="K573" s="113"/>
      <c r="L573" s="115"/>
    </row>
    <row r="574" spans="2:12" s="112" customFormat="1" ht="12.75" x14ac:dyDescent="0.2">
      <c r="B574" s="113"/>
      <c r="C574" s="113"/>
      <c r="D574" s="114"/>
      <c r="E574" s="113"/>
      <c r="F574" s="113"/>
      <c r="G574" s="113"/>
      <c r="H574" s="113"/>
      <c r="I574" s="113"/>
      <c r="J574" s="113"/>
      <c r="K574" s="113"/>
      <c r="L574" s="115"/>
    </row>
    <row r="575" spans="2:12" s="112" customFormat="1" ht="12.75" x14ac:dyDescent="0.2">
      <c r="B575" s="113"/>
      <c r="C575" s="113"/>
      <c r="D575" s="114"/>
      <c r="E575" s="113"/>
      <c r="F575" s="113"/>
      <c r="G575" s="113"/>
      <c r="H575" s="113"/>
      <c r="I575" s="113"/>
      <c r="J575" s="113"/>
      <c r="K575" s="113"/>
      <c r="L575" s="115"/>
    </row>
    <row r="576" spans="2:12" s="112" customFormat="1" ht="12.75" x14ac:dyDescent="0.2">
      <c r="B576" s="113"/>
      <c r="C576" s="113"/>
      <c r="D576" s="114"/>
      <c r="E576" s="113"/>
      <c r="F576" s="113"/>
      <c r="G576" s="113"/>
      <c r="H576" s="113"/>
      <c r="I576" s="113"/>
      <c r="J576" s="113"/>
      <c r="K576" s="113"/>
      <c r="L576" s="115"/>
    </row>
    <row r="577" spans="2:12" s="112" customFormat="1" ht="12.75" x14ac:dyDescent="0.2">
      <c r="B577" s="113"/>
      <c r="C577" s="113"/>
      <c r="D577" s="114"/>
      <c r="E577" s="113"/>
      <c r="F577" s="113"/>
      <c r="G577" s="113"/>
      <c r="H577" s="113"/>
      <c r="I577" s="113"/>
      <c r="J577" s="113"/>
      <c r="K577" s="113"/>
      <c r="L577" s="115"/>
    </row>
    <row r="578" spans="2:12" s="112" customFormat="1" ht="12.75" x14ac:dyDescent="0.2">
      <c r="B578" s="113"/>
      <c r="C578" s="113"/>
      <c r="D578" s="114"/>
      <c r="E578" s="113"/>
      <c r="F578" s="113"/>
      <c r="G578" s="113"/>
      <c r="H578" s="113"/>
      <c r="I578" s="113"/>
      <c r="J578" s="113"/>
      <c r="K578" s="113"/>
      <c r="L578" s="115"/>
    </row>
    <row r="579" spans="2:12" s="112" customFormat="1" ht="12.75" x14ac:dyDescent="0.2">
      <c r="B579" s="113"/>
      <c r="C579" s="113"/>
      <c r="D579" s="114"/>
      <c r="E579" s="113"/>
      <c r="F579" s="113"/>
      <c r="G579" s="113"/>
      <c r="H579" s="113"/>
      <c r="I579" s="113"/>
      <c r="J579" s="113"/>
      <c r="K579" s="113"/>
      <c r="L579" s="115"/>
    </row>
    <row r="580" spans="2:12" s="112" customFormat="1" ht="12.75" x14ac:dyDescent="0.2">
      <c r="B580" s="113"/>
      <c r="C580" s="113"/>
      <c r="D580" s="114"/>
      <c r="E580" s="113"/>
      <c r="F580" s="113"/>
      <c r="G580" s="113"/>
      <c r="H580" s="113"/>
      <c r="I580" s="113"/>
      <c r="J580" s="113"/>
      <c r="K580" s="113"/>
      <c r="L580" s="115"/>
    </row>
    <row r="581" spans="2:12" s="112" customFormat="1" ht="12.75" x14ac:dyDescent="0.2">
      <c r="B581" s="113"/>
      <c r="C581" s="113"/>
      <c r="D581" s="114"/>
      <c r="E581" s="113"/>
      <c r="F581" s="113"/>
      <c r="G581" s="113"/>
      <c r="H581" s="113"/>
      <c r="I581" s="113"/>
      <c r="J581" s="113"/>
      <c r="K581" s="113"/>
      <c r="L581" s="115"/>
    </row>
    <row r="582" spans="2:12" s="112" customFormat="1" ht="12.75" x14ac:dyDescent="0.2">
      <c r="B582" s="113"/>
      <c r="C582" s="113"/>
      <c r="D582" s="114"/>
      <c r="E582" s="113"/>
      <c r="F582" s="113"/>
      <c r="G582" s="113"/>
      <c r="H582" s="113"/>
      <c r="I582" s="113"/>
      <c r="J582" s="113"/>
      <c r="K582" s="113"/>
      <c r="L582" s="115"/>
    </row>
    <row r="583" spans="2:12" s="112" customFormat="1" ht="12.75" x14ac:dyDescent="0.2">
      <c r="B583" s="113"/>
      <c r="C583" s="113"/>
      <c r="D583" s="114"/>
      <c r="E583" s="113"/>
      <c r="F583" s="113"/>
      <c r="G583" s="113"/>
      <c r="H583" s="113"/>
      <c r="I583" s="113"/>
      <c r="J583" s="113"/>
      <c r="K583" s="113"/>
      <c r="L583" s="115"/>
    </row>
    <row r="584" spans="2:12" s="112" customFormat="1" ht="12.75" x14ac:dyDescent="0.2">
      <c r="B584" s="113"/>
      <c r="C584" s="113"/>
      <c r="D584" s="114"/>
      <c r="E584" s="113"/>
      <c r="F584" s="113"/>
      <c r="G584" s="113"/>
      <c r="H584" s="113"/>
      <c r="I584" s="113"/>
      <c r="J584" s="113"/>
      <c r="K584" s="113"/>
      <c r="L584" s="115"/>
    </row>
    <row r="585" spans="2:12" s="112" customFormat="1" ht="12.75" x14ac:dyDescent="0.2">
      <c r="B585" s="113"/>
      <c r="C585" s="113"/>
      <c r="D585" s="114"/>
      <c r="E585" s="113"/>
      <c r="F585" s="113"/>
      <c r="G585" s="113"/>
      <c r="H585" s="113"/>
      <c r="I585" s="113"/>
      <c r="J585" s="113"/>
      <c r="K585" s="113"/>
      <c r="L585" s="115"/>
    </row>
    <row r="586" spans="2:12" s="112" customFormat="1" ht="12.75" x14ac:dyDescent="0.2">
      <c r="B586" s="113"/>
      <c r="C586" s="113"/>
      <c r="D586" s="114"/>
      <c r="E586" s="113"/>
      <c r="F586" s="113"/>
      <c r="G586" s="113"/>
      <c r="H586" s="113"/>
      <c r="I586" s="113"/>
      <c r="J586" s="113"/>
      <c r="K586" s="113"/>
      <c r="L586" s="115"/>
    </row>
    <row r="587" spans="2:12" s="112" customFormat="1" ht="12.75" x14ac:dyDescent="0.2">
      <c r="B587" s="113"/>
      <c r="C587" s="113"/>
      <c r="D587" s="114"/>
      <c r="E587" s="113"/>
      <c r="F587" s="113"/>
      <c r="G587" s="113"/>
      <c r="H587" s="113"/>
      <c r="I587" s="113"/>
      <c r="J587" s="113"/>
      <c r="K587" s="113"/>
      <c r="L587" s="115"/>
    </row>
    <row r="588" spans="2:12" s="112" customFormat="1" ht="12.75" x14ac:dyDescent="0.2">
      <c r="B588" s="113"/>
      <c r="C588" s="113"/>
      <c r="D588" s="114"/>
      <c r="E588" s="113"/>
      <c r="F588" s="113"/>
      <c r="G588" s="113"/>
      <c r="H588" s="113"/>
      <c r="I588" s="113"/>
      <c r="J588" s="113"/>
      <c r="K588" s="113"/>
      <c r="L588" s="115"/>
    </row>
    <row r="589" spans="2:12" s="112" customFormat="1" ht="12.75" x14ac:dyDescent="0.2">
      <c r="B589" s="113"/>
      <c r="C589" s="113"/>
      <c r="D589" s="114"/>
      <c r="E589" s="113"/>
      <c r="F589" s="113"/>
      <c r="G589" s="113"/>
      <c r="H589" s="113"/>
      <c r="I589" s="113"/>
      <c r="J589" s="113"/>
      <c r="K589" s="113"/>
      <c r="L589" s="115"/>
    </row>
    <row r="590" spans="2:12" s="112" customFormat="1" ht="12.75" x14ac:dyDescent="0.2">
      <c r="B590" s="113"/>
      <c r="C590" s="113"/>
      <c r="D590" s="114"/>
      <c r="E590" s="113"/>
      <c r="F590" s="113"/>
      <c r="G590" s="113"/>
      <c r="H590" s="113"/>
      <c r="I590" s="113"/>
      <c r="J590" s="113"/>
      <c r="K590" s="113"/>
      <c r="L590" s="115"/>
    </row>
    <row r="591" spans="2:12" s="112" customFormat="1" ht="12.75" x14ac:dyDescent="0.2">
      <c r="B591" s="113"/>
      <c r="C591" s="113"/>
      <c r="D591" s="114"/>
      <c r="E591" s="113"/>
      <c r="F591" s="113"/>
      <c r="G591" s="113"/>
      <c r="H591" s="113"/>
      <c r="I591" s="113"/>
      <c r="J591" s="113"/>
      <c r="K591" s="113"/>
      <c r="L591" s="115"/>
    </row>
    <row r="592" spans="2:12" s="112" customFormat="1" ht="12.75" x14ac:dyDescent="0.2">
      <c r="B592" s="113"/>
      <c r="C592" s="113"/>
      <c r="D592" s="114"/>
      <c r="E592" s="113"/>
      <c r="F592" s="113"/>
      <c r="G592" s="113"/>
      <c r="H592" s="113"/>
      <c r="I592" s="113"/>
      <c r="J592" s="113"/>
      <c r="K592" s="113"/>
      <c r="L592" s="115"/>
    </row>
    <row r="593" spans="2:12" s="112" customFormat="1" ht="12.75" x14ac:dyDescent="0.2">
      <c r="B593" s="113"/>
      <c r="C593" s="113"/>
      <c r="D593" s="114"/>
      <c r="E593" s="113"/>
      <c r="F593" s="113"/>
      <c r="G593" s="113"/>
      <c r="H593" s="113"/>
      <c r="I593" s="113"/>
      <c r="J593" s="113"/>
      <c r="K593" s="113"/>
      <c r="L593" s="115"/>
    </row>
    <row r="594" spans="2:12" s="112" customFormat="1" ht="12.75" x14ac:dyDescent="0.2">
      <c r="B594" s="113"/>
      <c r="C594" s="113"/>
      <c r="D594" s="114"/>
      <c r="E594" s="113"/>
      <c r="F594" s="113"/>
      <c r="G594" s="113"/>
      <c r="H594" s="113"/>
      <c r="I594" s="113"/>
      <c r="J594" s="113"/>
      <c r="K594" s="113"/>
      <c r="L594" s="115"/>
    </row>
    <row r="595" spans="2:12" s="112" customFormat="1" ht="12.75" x14ac:dyDescent="0.2">
      <c r="B595" s="113"/>
      <c r="C595" s="113"/>
      <c r="D595" s="114"/>
      <c r="E595" s="113"/>
      <c r="F595" s="113"/>
      <c r="G595" s="113"/>
      <c r="H595" s="113"/>
      <c r="I595" s="113"/>
      <c r="J595" s="113"/>
      <c r="K595" s="113"/>
      <c r="L595" s="115"/>
    </row>
    <row r="596" spans="2:12" s="112" customFormat="1" ht="12.75" x14ac:dyDescent="0.2">
      <c r="B596" s="113"/>
      <c r="C596" s="113"/>
      <c r="D596" s="114"/>
      <c r="E596" s="113"/>
      <c r="F596" s="113"/>
      <c r="G596" s="113"/>
      <c r="H596" s="113"/>
      <c r="I596" s="113"/>
      <c r="J596" s="113"/>
      <c r="K596" s="113"/>
      <c r="L596" s="115"/>
    </row>
    <row r="597" spans="2:12" s="112" customFormat="1" ht="12.75" x14ac:dyDescent="0.2">
      <c r="B597" s="113"/>
      <c r="C597" s="113"/>
      <c r="D597" s="114"/>
      <c r="E597" s="113"/>
      <c r="F597" s="113"/>
      <c r="G597" s="113"/>
      <c r="H597" s="113"/>
      <c r="I597" s="113"/>
      <c r="J597" s="113"/>
      <c r="K597" s="113"/>
      <c r="L597" s="115"/>
    </row>
    <row r="598" spans="2:12" s="112" customFormat="1" ht="12.75" x14ac:dyDescent="0.2">
      <c r="B598" s="113"/>
      <c r="C598" s="113"/>
      <c r="D598" s="114"/>
      <c r="E598" s="113"/>
      <c r="F598" s="113"/>
      <c r="G598" s="113"/>
      <c r="H598" s="113"/>
      <c r="I598" s="113"/>
      <c r="J598" s="113"/>
      <c r="K598" s="113"/>
      <c r="L598" s="115"/>
    </row>
    <row r="599" spans="2:12" s="112" customFormat="1" ht="12.75" x14ac:dyDescent="0.2">
      <c r="B599" s="113"/>
      <c r="C599" s="113"/>
      <c r="D599" s="114"/>
      <c r="E599" s="113"/>
      <c r="F599" s="113"/>
      <c r="G599" s="113"/>
      <c r="H599" s="113"/>
      <c r="I599" s="113"/>
      <c r="J599" s="113"/>
      <c r="K599" s="113"/>
      <c r="L599" s="115"/>
    </row>
    <row r="600" spans="2:12" s="112" customFormat="1" ht="12.75" x14ac:dyDescent="0.2">
      <c r="B600" s="113"/>
      <c r="C600" s="113"/>
      <c r="D600" s="114"/>
      <c r="E600" s="113"/>
      <c r="F600" s="113"/>
      <c r="G600" s="113"/>
      <c r="H600" s="113"/>
      <c r="I600" s="113"/>
      <c r="J600" s="113"/>
      <c r="K600" s="113"/>
      <c r="L600" s="115"/>
    </row>
    <row r="601" spans="2:12" s="112" customFormat="1" ht="12.75" x14ac:dyDescent="0.2">
      <c r="B601" s="113"/>
      <c r="C601" s="113"/>
      <c r="D601" s="114"/>
      <c r="E601" s="113"/>
      <c r="F601" s="113"/>
      <c r="G601" s="113"/>
      <c r="H601" s="113"/>
      <c r="I601" s="113"/>
      <c r="J601" s="113"/>
      <c r="K601" s="113"/>
      <c r="L601" s="115"/>
    </row>
    <row r="602" spans="2:12" s="112" customFormat="1" ht="12.75" x14ac:dyDescent="0.2">
      <c r="B602" s="113"/>
      <c r="C602" s="113"/>
      <c r="D602" s="114"/>
      <c r="E602" s="113"/>
      <c r="F602" s="113"/>
      <c r="G602" s="113"/>
      <c r="H602" s="113"/>
      <c r="I602" s="113"/>
      <c r="J602" s="113"/>
      <c r="K602" s="113"/>
      <c r="L602" s="115"/>
    </row>
    <row r="603" spans="2:12" s="112" customFormat="1" ht="12.75" x14ac:dyDescent="0.2">
      <c r="B603" s="113"/>
      <c r="C603" s="113"/>
      <c r="D603" s="114"/>
      <c r="E603" s="113"/>
      <c r="F603" s="113"/>
      <c r="G603" s="113"/>
      <c r="H603" s="113"/>
      <c r="I603" s="113"/>
      <c r="J603" s="113"/>
      <c r="K603" s="113"/>
      <c r="L603" s="115"/>
    </row>
    <row r="604" spans="2:12" s="112" customFormat="1" ht="12.75" x14ac:dyDescent="0.2">
      <c r="B604" s="113"/>
      <c r="C604" s="113"/>
      <c r="D604" s="114"/>
      <c r="E604" s="113"/>
      <c r="F604" s="113"/>
      <c r="G604" s="113"/>
      <c r="H604" s="113"/>
      <c r="I604" s="113"/>
      <c r="J604" s="113"/>
      <c r="K604" s="113"/>
      <c r="L604" s="115"/>
    </row>
    <row r="605" spans="2:12" s="112" customFormat="1" ht="12.75" x14ac:dyDescent="0.2">
      <c r="B605" s="113"/>
      <c r="C605" s="113"/>
      <c r="D605" s="114"/>
      <c r="E605" s="113"/>
      <c r="F605" s="113"/>
      <c r="G605" s="113"/>
      <c r="H605" s="113"/>
      <c r="I605" s="113"/>
      <c r="J605" s="113"/>
      <c r="K605" s="113"/>
      <c r="L605" s="115"/>
    </row>
    <row r="606" spans="2:12" s="112" customFormat="1" ht="12.75" x14ac:dyDescent="0.2">
      <c r="B606" s="113"/>
      <c r="C606" s="113"/>
      <c r="D606" s="114"/>
      <c r="E606" s="113"/>
      <c r="F606" s="113"/>
      <c r="G606" s="113"/>
      <c r="H606" s="113"/>
      <c r="I606" s="113"/>
      <c r="J606" s="113"/>
      <c r="K606" s="113"/>
      <c r="L606" s="115"/>
    </row>
    <row r="607" spans="2:12" s="112" customFormat="1" ht="12.75" x14ac:dyDescent="0.2">
      <c r="B607" s="113"/>
      <c r="C607" s="113"/>
      <c r="D607" s="114"/>
      <c r="E607" s="113"/>
      <c r="F607" s="113"/>
      <c r="G607" s="113"/>
      <c r="H607" s="113"/>
      <c r="I607" s="113"/>
      <c r="J607" s="113"/>
      <c r="K607" s="113"/>
      <c r="L607" s="115"/>
    </row>
    <row r="608" spans="2:12" s="112" customFormat="1" ht="12.75" x14ac:dyDescent="0.2">
      <c r="B608" s="113"/>
      <c r="C608" s="113"/>
      <c r="D608" s="114"/>
      <c r="E608" s="113"/>
      <c r="F608" s="113"/>
      <c r="G608" s="113"/>
      <c r="H608" s="113"/>
      <c r="I608" s="113"/>
      <c r="J608" s="113"/>
      <c r="K608" s="113"/>
      <c r="L608" s="115"/>
    </row>
    <row r="609" spans="2:12" s="112" customFormat="1" ht="12.75" x14ac:dyDescent="0.2">
      <c r="B609" s="113"/>
      <c r="C609" s="113"/>
      <c r="D609" s="114"/>
      <c r="E609" s="113"/>
      <c r="F609" s="113"/>
      <c r="G609" s="113"/>
      <c r="H609" s="113"/>
      <c r="I609" s="113"/>
      <c r="J609" s="113"/>
      <c r="K609" s="113"/>
      <c r="L609" s="115"/>
    </row>
    <row r="610" spans="2:12" s="112" customFormat="1" ht="12.75" x14ac:dyDescent="0.2">
      <c r="B610" s="113"/>
      <c r="C610" s="113"/>
      <c r="D610" s="114"/>
      <c r="E610" s="113"/>
      <c r="F610" s="113"/>
      <c r="G610" s="113"/>
      <c r="H610" s="113"/>
      <c r="I610" s="113"/>
      <c r="J610" s="113"/>
      <c r="K610" s="113"/>
      <c r="L610" s="115"/>
    </row>
    <row r="611" spans="2:12" s="112" customFormat="1" ht="12.75" x14ac:dyDescent="0.2">
      <c r="B611" s="113"/>
      <c r="C611" s="113"/>
      <c r="D611" s="114"/>
      <c r="E611" s="113"/>
      <c r="F611" s="113"/>
      <c r="G611" s="113"/>
      <c r="H611" s="113"/>
      <c r="I611" s="113"/>
      <c r="J611" s="113"/>
      <c r="K611" s="113"/>
      <c r="L611" s="115"/>
    </row>
    <row r="612" spans="2:12" s="112" customFormat="1" ht="12.75" x14ac:dyDescent="0.2">
      <c r="B612" s="113"/>
      <c r="C612" s="113"/>
      <c r="D612" s="114"/>
      <c r="E612" s="113"/>
      <c r="F612" s="113"/>
      <c r="G612" s="113"/>
      <c r="H612" s="113"/>
      <c r="I612" s="113"/>
      <c r="J612" s="113"/>
      <c r="K612" s="113"/>
      <c r="L612" s="115"/>
    </row>
    <row r="613" spans="2:12" s="112" customFormat="1" ht="12.75" x14ac:dyDescent="0.2">
      <c r="B613" s="113"/>
      <c r="C613" s="113"/>
      <c r="D613" s="114"/>
      <c r="E613" s="113"/>
      <c r="F613" s="113"/>
      <c r="G613" s="113"/>
      <c r="H613" s="113"/>
      <c r="I613" s="113"/>
      <c r="J613" s="113"/>
      <c r="K613" s="113"/>
      <c r="L613" s="115"/>
    </row>
    <row r="614" spans="2:12" s="112" customFormat="1" ht="12.75" x14ac:dyDescent="0.2">
      <c r="B614" s="113"/>
      <c r="C614" s="113"/>
      <c r="D614" s="114"/>
      <c r="E614" s="113"/>
      <c r="F614" s="113"/>
      <c r="G614" s="113"/>
      <c r="H614" s="113"/>
      <c r="I614" s="113"/>
      <c r="J614" s="113"/>
      <c r="K614" s="113"/>
      <c r="L614" s="115"/>
    </row>
    <row r="615" spans="2:12" s="112" customFormat="1" ht="12.75" x14ac:dyDescent="0.2">
      <c r="B615" s="113"/>
      <c r="C615" s="113"/>
      <c r="D615" s="114"/>
      <c r="E615" s="113"/>
      <c r="F615" s="113"/>
      <c r="G615" s="113"/>
      <c r="H615" s="113"/>
      <c r="I615" s="113"/>
      <c r="J615" s="113"/>
      <c r="K615" s="113"/>
      <c r="L615" s="115"/>
    </row>
    <row r="616" spans="2:12" s="112" customFormat="1" ht="12.75" x14ac:dyDescent="0.2">
      <c r="B616" s="113"/>
      <c r="C616" s="113"/>
      <c r="D616" s="114"/>
      <c r="E616" s="113"/>
      <c r="F616" s="113"/>
      <c r="G616" s="113"/>
      <c r="H616" s="113"/>
      <c r="I616" s="113"/>
      <c r="J616" s="113"/>
      <c r="K616" s="113"/>
      <c r="L616" s="115"/>
    </row>
    <row r="617" spans="2:12" s="112" customFormat="1" ht="12.75" x14ac:dyDescent="0.2">
      <c r="B617" s="113"/>
      <c r="C617" s="113"/>
      <c r="D617" s="114"/>
      <c r="E617" s="113"/>
      <c r="F617" s="113"/>
      <c r="G617" s="113"/>
      <c r="H617" s="113"/>
      <c r="I617" s="113"/>
      <c r="J617" s="113"/>
      <c r="K617" s="113"/>
      <c r="L617" s="115"/>
    </row>
    <row r="618" spans="2:12" s="112" customFormat="1" ht="12.75" x14ac:dyDescent="0.2">
      <c r="B618" s="113"/>
      <c r="C618" s="113"/>
      <c r="D618" s="114"/>
      <c r="E618" s="113"/>
      <c r="F618" s="113"/>
      <c r="G618" s="113"/>
      <c r="H618" s="113"/>
      <c r="I618" s="113"/>
      <c r="J618" s="113"/>
      <c r="K618" s="113"/>
      <c r="L618" s="115"/>
    </row>
    <row r="619" spans="2:12" s="112" customFormat="1" ht="12.75" x14ac:dyDescent="0.2">
      <c r="B619" s="113"/>
      <c r="C619" s="113"/>
      <c r="D619" s="114"/>
      <c r="E619" s="113"/>
      <c r="F619" s="113"/>
      <c r="G619" s="113"/>
      <c r="H619" s="113"/>
      <c r="I619" s="113"/>
      <c r="J619" s="113"/>
      <c r="K619" s="113"/>
      <c r="L619" s="115"/>
    </row>
    <row r="620" spans="2:12" s="112" customFormat="1" ht="12.75" x14ac:dyDescent="0.2">
      <c r="B620" s="113"/>
      <c r="C620" s="113"/>
      <c r="D620" s="114"/>
      <c r="E620" s="113"/>
      <c r="F620" s="113"/>
      <c r="G620" s="113"/>
      <c r="H620" s="113"/>
      <c r="I620" s="113"/>
      <c r="J620" s="113"/>
      <c r="K620" s="113"/>
      <c r="L620" s="115"/>
    </row>
    <row r="621" spans="2:12" s="112" customFormat="1" ht="12.75" x14ac:dyDescent="0.2">
      <c r="B621" s="113"/>
      <c r="C621" s="113"/>
      <c r="D621" s="114"/>
      <c r="E621" s="113"/>
      <c r="F621" s="113"/>
      <c r="G621" s="113"/>
      <c r="H621" s="113"/>
      <c r="I621" s="113"/>
      <c r="J621" s="113"/>
      <c r="K621" s="113"/>
      <c r="L621" s="115"/>
    </row>
    <row r="622" spans="2:12" s="112" customFormat="1" ht="12.75" x14ac:dyDescent="0.2">
      <c r="B622" s="113"/>
      <c r="C622" s="113"/>
      <c r="D622" s="114"/>
      <c r="E622" s="113"/>
      <c r="F622" s="113"/>
      <c r="G622" s="113"/>
      <c r="H622" s="113"/>
      <c r="I622" s="113"/>
      <c r="J622" s="113"/>
      <c r="K622" s="113"/>
      <c r="L622" s="115"/>
    </row>
    <row r="623" spans="2:12" s="112" customFormat="1" ht="12.75" x14ac:dyDescent="0.2">
      <c r="B623" s="113"/>
      <c r="C623" s="113"/>
      <c r="D623" s="114"/>
      <c r="E623" s="113"/>
      <c r="F623" s="113"/>
      <c r="G623" s="113"/>
      <c r="H623" s="113"/>
      <c r="I623" s="113"/>
      <c r="J623" s="113"/>
      <c r="K623" s="113"/>
      <c r="L623" s="115"/>
    </row>
    <row r="624" spans="2:12" s="112" customFormat="1" ht="12.75" x14ac:dyDescent="0.2">
      <c r="B624" s="113"/>
      <c r="C624" s="113"/>
      <c r="D624" s="114"/>
      <c r="E624" s="113"/>
      <c r="F624" s="113"/>
      <c r="G624" s="113"/>
      <c r="H624" s="113"/>
      <c r="I624" s="113"/>
      <c r="J624" s="113"/>
      <c r="K624" s="113"/>
      <c r="L624" s="115"/>
    </row>
    <row r="625" spans="2:12" s="112" customFormat="1" ht="12.75" x14ac:dyDescent="0.2">
      <c r="B625" s="113"/>
      <c r="C625" s="113"/>
      <c r="D625" s="114"/>
      <c r="E625" s="113"/>
      <c r="F625" s="113"/>
      <c r="G625" s="113"/>
      <c r="H625" s="113"/>
      <c r="I625" s="113"/>
      <c r="J625" s="113"/>
      <c r="K625" s="113"/>
      <c r="L625" s="115"/>
    </row>
    <row r="626" spans="2:12" s="112" customFormat="1" ht="12.75" x14ac:dyDescent="0.2">
      <c r="B626" s="113"/>
      <c r="C626" s="113"/>
      <c r="D626" s="114"/>
      <c r="E626" s="113"/>
      <c r="F626" s="113"/>
      <c r="G626" s="113"/>
      <c r="H626" s="113"/>
      <c r="I626" s="113"/>
      <c r="J626" s="113"/>
      <c r="K626" s="113"/>
      <c r="L626" s="115"/>
    </row>
    <row r="627" spans="2:12" s="112" customFormat="1" ht="12.75" x14ac:dyDescent="0.2">
      <c r="B627" s="113"/>
      <c r="C627" s="113"/>
      <c r="D627" s="114"/>
      <c r="E627" s="113"/>
      <c r="F627" s="113"/>
      <c r="G627" s="113"/>
      <c r="H627" s="113"/>
      <c r="I627" s="113"/>
      <c r="J627" s="113"/>
      <c r="K627" s="113"/>
      <c r="L627" s="115"/>
    </row>
    <row r="628" spans="2:12" s="112" customFormat="1" ht="12.75" x14ac:dyDescent="0.2">
      <c r="B628" s="113"/>
      <c r="C628" s="113"/>
      <c r="D628" s="114"/>
      <c r="E628" s="113"/>
      <c r="F628" s="113"/>
      <c r="G628" s="113"/>
      <c r="H628" s="113"/>
      <c r="I628" s="113"/>
      <c r="J628" s="113"/>
      <c r="K628" s="113"/>
      <c r="L628" s="115"/>
    </row>
    <row r="629" spans="2:12" s="112" customFormat="1" ht="12.75" x14ac:dyDescent="0.2">
      <c r="B629" s="113"/>
      <c r="C629" s="113"/>
      <c r="D629" s="114"/>
      <c r="E629" s="113"/>
      <c r="F629" s="113"/>
      <c r="G629" s="113"/>
      <c r="H629" s="113"/>
      <c r="I629" s="113"/>
      <c r="J629" s="113"/>
      <c r="K629" s="113"/>
      <c r="L629" s="115"/>
    </row>
    <row r="630" spans="2:12" s="112" customFormat="1" ht="12.75" x14ac:dyDescent="0.2">
      <c r="B630" s="113"/>
      <c r="C630" s="113"/>
      <c r="D630" s="114"/>
      <c r="E630" s="113"/>
      <c r="F630" s="113"/>
      <c r="G630" s="113"/>
      <c r="H630" s="113"/>
      <c r="I630" s="113"/>
      <c r="J630" s="113"/>
      <c r="K630" s="113"/>
      <c r="L630" s="115"/>
    </row>
    <row r="631" spans="2:12" s="112" customFormat="1" ht="12.75" x14ac:dyDescent="0.2">
      <c r="B631" s="113"/>
      <c r="C631" s="113"/>
      <c r="D631" s="114"/>
      <c r="E631" s="113"/>
      <c r="F631" s="113"/>
      <c r="G631" s="113"/>
      <c r="H631" s="113"/>
      <c r="I631" s="113"/>
      <c r="J631" s="113"/>
      <c r="K631" s="113"/>
      <c r="L631" s="115"/>
    </row>
    <row r="632" spans="2:12" s="112" customFormat="1" ht="12.75" x14ac:dyDescent="0.2">
      <c r="B632" s="113"/>
      <c r="C632" s="113"/>
      <c r="D632" s="114"/>
      <c r="E632" s="113"/>
      <c r="F632" s="113"/>
      <c r="G632" s="113"/>
      <c r="H632" s="113"/>
      <c r="I632" s="113"/>
      <c r="J632" s="113"/>
      <c r="K632" s="113"/>
      <c r="L632" s="115"/>
    </row>
    <row r="633" spans="2:12" s="112" customFormat="1" ht="12.75" x14ac:dyDescent="0.2">
      <c r="B633" s="113"/>
      <c r="C633" s="113"/>
      <c r="D633" s="114"/>
      <c r="E633" s="113"/>
      <c r="F633" s="113"/>
      <c r="G633" s="113"/>
      <c r="H633" s="113"/>
      <c r="I633" s="113"/>
      <c r="J633" s="113"/>
      <c r="K633" s="113"/>
      <c r="L633" s="115"/>
    </row>
    <row r="634" spans="2:12" s="112" customFormat="1" ht="12.75" x14ac:dyDescent="0.2">
      <c r="B634" s="113"/>
      <c r="C634" s="113"/>
      <c r="D634" s="114"/>
      <c r="E634" s="113"/>
      <c r="F634" s="113"/>
      <c r="G634" s="113"/>
      <c r="H634" s="113"/>
      <c r="I634" s="113"/>
      <c r="J634" s="113"/>
      <c r="K634" s="113"/>
      <c r="L634" s="115"/>
    </row>
    <row r="635" spans="2:12" s="112" customFormat="1" ht="12.75" x14ac:dyDescent="0.2">
      <c r="B635" s="113"/>
      <c r="C635" s="113"/>
      <c r="D635" s="114"/>
      <c r="E635" s="113"/>
      <c r="F635" s="113"/>
      <c r="G635" s="113"/>
      <c r="H635" s="113"/>
      <c r="I635" s="113"/>
      <c r="J635" s="113"/>
      <c r="K635" s="113"/>
      <c r="L635" s="115"/>
    </row>
    <row r="636" spans="2:12" s="112" customFormat="1" ht="12.75" x14ac:dyDescent="0.2">
      <c r="B636" s="113"/>
      <c r="C636" s="113"/>
      <c r="D636" s="114"/>
      <c r="E636" s="113"/>
      <c r="F636" s="113"/>
      <c r="G636" s="113"/>
      <c r="H636" s="113"/>
      <c r="I636" s="113"/>
      <c r="J636" s="113"/>
      <c r="K636" s="113"/>
      <c r="L636" s="115"/>
    </row>
    <row r="637" spans="2:12" s="112" customFormat="1" ht="12.75" x14ac:dyDescent="0.2">
      <c r="B637" s="113"/>
      <c r="C637" s="113"/>
      <c r="D637" s="114"/>
      <c r="E637" s="113"/>
      <c r="F637" s="113"/>
      <c r="G637" s="113"/>
      <c r="H637" s="113"/>
      <c r="I637" s="113"/>
      <c r="J637" s="113"/>
      <c r="K637" s="113"/>
      <c r="L637" s="115"/>
    </row>
    <row r="638" spans="2:12" s="112" customFormat="1" ht="12.75" x14ac:dyDescent="0.2">
      <c r="B638" s="113"/>
      <c r="C638" s="113"/>
      <c r="D638" s="114"/>
      <c r="E638" s="113"/>
      <c r="F638" s="113"/>
      <c r="G638" s="113"/>
      <c r="H638" s="113"/>
      <c r="I638" s="113"/>
      <c r="J638" s="113"/>
      <c r="K638" s="113"/>
      <c r="L638" s="115"/>
    </row>
    <row r="639" spans="2:12" s="112" customFormat="1" ht="12.75" x14ac:dyDescent="0.2">
      <c r="B639" s="113"/>
      <c r="C639" s="113"/>
      <c r="D639" s="114"/>
      <c r="E639" s="113"/>
      <c r="F639" s="113"/>
      <c r="G639" s="113"/>
      <c r="H639" s="113"/>
      <c r="I639" s="113"/>
      <c r="J639" s="113"/>
      <c r="K639" s="113"/>
      <c r="L639" s="115"/>
    </row>
    <row r="640" spans="2:12" s="112" customFormat="1" ht="12.75" x14ac:dyDescent="0.2">
      <c r="B640" s="113"/>
      <c r="C640" s="113"/>
      <c r="D640" s="114"/>
      <c r="E640" s="113"/>
      <c r="F640" s="113"/>
      <c r="G640" s="113"/>
      <c r="H640" s="113"/>
      <c r="I640" s="113"/>
      <c r="J640" s="113"/>
      <c r="K640" s="113"/>
      <c r="L640" s="115"/>
    </row>
    <row r="641" spans="2:12" s="112" customFormat="1" ht="12.75" x14ac:dyDescent="0.2">
      <c r="B641" s="113"/>
      <c r="C641" s="113"/>
      <c r="D641" s="114"/>
      <c r="E641" s="113"/>
      <c r="F641" s="113"/>
      <c r="G641" s="113"/>
      <c r="H641" s="113"/>
      <c r="I641" s="113"/>
      <c r="J641" s="113"/>
      <c r="K641" s="113"/>
      <c r="L641" s="115"/>
    </row>
    <row r="642" spans="2:12" s="112" customFormat="1" ht="12.75" x14ac:dyDescent="0.2">
      <c r="B642" s="113"/>
      <c r="C642" s="113"/>
      <c r="D642" s="114"/>
      <c r="E642" s="113"/>
      <c r="F642" s="113"/>
      <c r="G642" s="113"/>
      <c r="H642" s="113"/>
      <c r="I642" s="113"/>
      <c r="J642" s="113"/>
      <c r="K642" s="113"/>
      <c r="L642" s="115"/>
    </row>
    <row r="643" spans="2:12" s="112" customFormat="1" ht="12.75" x14ac:dyDescent="0.2">
      <c r="B643" s="113"/>
      <c r="C643" s="113"/>
      <c r="D643" s="114"/>
      <c r="E643" s="113"/>
      <c r="F643" s="113"/>
      <c r="G643" s="113"/>
      <c r="H643" s="113"/>
      <c r="I643" s="113"/>
      <c r="J643" s="113"/>
      <c r="K643" s="113"/>
      <c r="L643" s="115"/>
    </row>
    <row r="644" spans="2:12" s="112" customFormat="1" ht="12.75" x14ac:dyDescent="0.2">
      <c r="B644" s="113"/>
      <c r="C644" s="113"/>
      <c r="D644" s="114"/>
      <c r="E644" s="113"/>
      <c r="F644" s="113"/>
      <c r="G644" s="113"/>
      <c r="H644" s="113"/>
      <c r="I644" s="113"/>
      <c r="J644" s="113"/>
      <c r="K644" s="113"/>
      <c r="L644" s="115"/>
    </row>
    <row r="645" spans="2:12" s="112" customFormat="1" ht="12.75" x14ac:dyDescent="0.2">
      <c r="B645" s="113"/>
      <c r="C645" s="113"/>
      <c r="D645" s="114"/>
      <c r="E645" s="113"/>
      <c r="F645" s="113"/>
      <c r="G645" s="113"/>
      <c r="H645" s="113"/>
      <c r="I645" s="113"/>
      <c r="J645" s="113"/>
      <c r="K645" s="113"/>
      <c r="L645" s="115"/>
    </row>
    <row r="646" spans="2:12" s="112" customFormat="1" ht="12.75" x14ac:dyDescent="0.2">
      <c r="B646" s="113"/>
      <c r="C646" s="113"/>
      <c r="D646" s="114"/>
      <c r="E646" s="113"/>
      <c r="F646" s="113"/>
      <c r="G646" s="113"/>
      <c r="H646" s="113"/>
      <c r="I646" s="113"/>
      <c r="J646" s="113"/>
      <c r="K646" s="113"/>
      <c r="L646" s="115"/>
    </row>
    <row r="647" spans="2:12" s="112" customFormat="1" ht="12.75" x14ac:dyDescent="0.2">
      <c r="B647" s="113"/>
      <c r="C647" s="113"/>
      <c r="D647" s="114"/>
      <c r="E647" s="113"/>
      <c r="F647" s="113"/>
      <c r="G647" s="113"/>
      <c r="H647" s="113"/>
      <c r="I647" s="113"/>
      <c r="J647" s="113"/>
      <c r="K647" s="113"/>
      <c r="L647" s="115"/>
    </row>
    <row r="648" spans="2:12" s="112" customFormat="1" ht="12.75" x14ac:dyDescent="0.2">
      <c r="B648" s="113"/>
      <c r="C648" s="113"/>
      <c r="D648" s="114"/>
      <c r="E648" s="113"/>
      <c r="F648" s="113"/>
      <c r="G648" s="113"/>
      <c r="H648" s="113"/>
      <c r="I648" s="113"/>
      <c r="J648" s="113"/>
      <c r="K648" s="113"/>
      <c r="L648" s="115"/>
    </row>
    <row r="649" spans="2:12" s="112" customFormat="1" ht="12.75" x14ac:dyDescent="0.2">
      <c r="B649" s="113"/>
      <c r="C649" s="113"/>
      <c r="D649" s="114"/>
      <c r="E649" s="113"/>
      <c r="F649" s="113"/>
      <c r="G649" s="113"/>
      <c r="H649" s="113"/>
      <c r="I649" s="113"/>
      <c r="J649" s="113"/>
      <c r="K649" s="113"/>
      <c r="L649" s="115"/>
    </row>
    <row r="650" spans="2:12" s="112" customFormat="1" ht="12.75" x14ac:dyDescent="0.2">
      <c r="B650" s="113"/>
      <c r="C650" s="113"/>
      <c r="D650" s="114"/>
      <c r="E650" s="113"/>
      <c r="F650" s="113"/>
      <c r="G650" s="113"/>
      <c r="H650" s="113"/>
      <c r="I650" s="113"/>
      <c r="J650" s="113"/>
      <c r="K650" s="113"/>
      <c r="L650" s="115"/>
    </row>
    <row r="651" spans="2:12" s="112" customFormat="1" ht="12.75" x14ac:dyDescent="0.2">
      <c r="B651" s="113"/>
      <c r="C651" s="113"/>
      <c r="D651" s="114"/>
      <c r="E651" s="113"/>
      <c r="F651" s="113"/>
      <c r="G651" s="113"/>
      <c r="H651" s="113"/>
      <c r="I651" s="113"/>
      <c r="J651" s="113"/>
      <c r="K651" s="113"/>
      <c r="L651" s="115"/>
    </row>
    <row r="652" spans="2:12" s="112" customFormat="1" ht="12.75" x14ac:dyDescent="0.2">
      <c r="B652" s="113"/>
      <c r="C652" s="113"/>
      <c r="D652" s="114"/>
      <c r="E652" s="113"/>
      <c r="F652" s="113"/>
      <c r="G652" s="113"/>
      <c r="H652" s="113"/>
      <c r="I652" s="113"/>
      <c r="J652" s="113"/>
      <c r="K652" s="113"/>
      <c r="L652" s="115"/>
    </row>
    <row r="653" spans="2:12" s="112" customFormat="1" ht="12.75" x14ac:dyDescent="0.2">
      <c r="B653" s="113"/>
      <c r="C653" s="113"/>
      <c r="D653" s="114"/>
      <c r="E653" s="113"/>
      <c r="F653" s="113"/>
      <c r="G653" s="113"/>
      <c r="H653" s="113"/>
      <c r="I653" s="113"/>
      <c r="J653" s="113"/>
      <c r="K653" s="113"/>
      <c r="L653" s="115"/>
    </row>
    <row r="654" spans="2:12" s="112" customFormat="1" ht="12.75" x14ac:dyDescent="0.2">
      <c r="B654" s="113"/>
      <c r="C654" s="113"/>
      <c r="D654" s="114"/>
      <c r="E654" s="113"/>
      <c r="F654" s="113"/>
      <c r="G654" s="113"/>
      <c r="H654" s="113"/>
      <c r="I654" s="113"/>
      <c r="J654" s="113"/>
      <c r="K654" s="113"/>
      <c r="L654" s="115"/>
    </row>
    <row r="655" spans="2:12" s="112" customFormat="1" ht="12.75" x14ac:dyDescent="0.2">
      <c r="B655" s="113"/>
      <c r="C655" s="113"/>
      <c r="D655" s="114"/>
      <c r="E655" s="113"/>
      <c r="F655" s="113"/>
      <c r="G655" s="113"/>
      <c r="H655" s="113"/>
      <c r="I655" s="113"/>
      <c r="J655" s="113"/>
      <c r="K655" s="113"/>
      <c r="L655" s="115"/>
    </row>
    <row r="656" spans="2:12" s="112" customFormat="1" ht="12.75" x14ac:dyDescent="0.2">
      <c r="B656" s="113"/>
      <c r="C656" s="113"/>
      <c r="D656" s="114"/>
      <c r="E656" s="113"/>
      <c r="F656" s="113"/>
      <c r="G656" s="113"/>
      <c r="H656" s="113"/>
      <c r="I656" s="113"/>
      <c r="J656" s="113"/>
      <c r="K656" s="113"/>
      <c r="L656" s="115"/>
    </row>
    <row r="657" spans="2:12" s="112" customFormat="1" ht="12.75" x14ac:dyDescent="0.2">
      <c r="B657" s="113"/>
      <c r="C657" s="113"/>
      <c r="D657" s="114"/>
      <c r="E657" s="113"/>
      <c r="F657" s="113"/>
      <c r="G657" s="113"/>
      <c r="H657" s="113"/>
      <c r="I657" s="113"/>
      <c r="J657" s="113"/>
      <c r="K657" s="113"/>
      <c r="L657" s="115"/>
    </row>
    <row r="658" spans="2:12" s="112" customFormat="1" ht="12.75" x14ac:dyDescent="0.2">
      <c r="B658" s="113"/>
      <c r="C658" s="113"/>
      <c r="D658" s="114"/>
      <c r="E658" s="113"/>
      <c r="F658" s="113"/>
      <c r="G658" s="113"/>
      <c r="H658" s="113"/>
      <c r="I658" s="113"/>
      <c r="J658" s="113"/>
      <c r="K658" s="113"/>
      <c r="L658" s="115"/>
    </row>
    <row r="659" spans="2:12" s="112" customFormat="1" ht="12.75" x14ac:dyDescent="0.2">
      <c r="B659" s="113"/>
      <c r="C659" s="113"/>
      <c r="D659" s="114"/>
      <c r="E659" s="113"/>
      <c r="F659" s="113"/>
      <c r="G659" s="113"/>
      <c r="H659" s="113"/>
      <c r="I659" s="113"/>
      <c r="J659" s="113"/>
      <c r="K659" s="113"/>
      <c r="L659" s="115"/>
    </row>
    <row r="660" spans="2:12" s="112" customFormat="1" ht="12.75" x14ac:dyDescent="0.2">
      <c r="B660" s="113"/>
      <c r="C660" s="113"/>
      <c r="D660" s="114"/>
      <c r="E660" s="113"/>
      <c r="F660" s="113"/>
      <c r="G660" s="113"/>
      <c r="H660" s="113"/>
      <c r="I660" s="113"/>
      <c r="J660" s="113"/>
      <c r="K660" s="113"/>
      <c r="L660" s="115"/>
    </row>
    <row r="661" spans="2:12" s="112" customFormat="1" ht="12.75" x14ac:dyDescent="0.2">
      <c r="B661" s="113"/>
      <c r="C661" s="113"/>
      <c r="D661" s="114"/>
      <c r="E661" s="113"/>
      <c r="F661" s="113"/>
      <c r="G661" s="113"/>
      <c r="H661" s="113"/>
      <c r="I661" s="113"/>
      <c r="J661" s="113"/>
      <c r="K661" s="113"/>
      <c r="L661" s="115"/>
    </row>
    <row r="662" spans="2:12" s="112" customFormat="1" ht="12.75" x14ac:dyDescent="0.2">
      <c r="B662" s="113"/>
      <c r="C662" s="113"/>
      <c r="D662" s="114"/>
      <c r="E662" s="113"/>
      <c r="F662" s="113"/>
      <c r="G662" s="113"/>
      <c r="H662" s="113"/>
      <c r="I662" s="113"/>
      <c r="J662" s="113"/>
      <c r="K662" s="113"/>
      <c r="L662" s="115"/>
    </row>
    <row r="663" spans="2:12" s="112" customFormat="1" ht="12.75" x14ac:dyDescent="0.2">
      <c r="B663" s="113"/>
      <c r="C663" s="113"/>
      <c r="D663" s="114"/>
      <c r="E663" s="113"/>
      <c r="F663" s="113"/>
      <c r="G663" s="113"/>
      <c r="H663" s="113"/>
      <c r="I663" s="113"/>
      <c r="J663" s="113"/>
      <c r="K663" s="113"/>
      <c r="L663" s="115"/>
    </row>
    <row r="664" spans="2:12" s="112" customFormat="1" ht="12.75" x14ac:dyDescent="0.2">
      <c r="B664" s="113"/>
      <c r="C664" s="113"/>
      <c r="D664" s="114"/>
      <c r="E664" s="113"/>
      <c r="F664" s="113"/>
      <c r="G664" s="113"/>
      <c r="H664" s="113"/>
      <c r="I664" s="113"/>
      <c r="J664" s="113"/>
      <c r="K664" s="113"/>
      <c r="L664" s="115"/>
    </row>
    <row r="665" spans="2:12" s="112" customFormat="1" ht="12.75" x14ac:dyDescent="0.2">
      <c r="B665" s="113"/>
      <c r="C665" s="113"/>
      <c r="D665" s="114"/>
      <c r="E665" s="113"/>
      <c r="F665" s="113"/>
      <c r="G665" s="113"/>
      <c r="H665" s="113"/>
      <c r="I665" s="113"/>
      <c r="J665" s="113"/>
      <c r="K665" s="113"/>
      <c r="L665" s="115"/>
    </row>
    <row r="666" spans="2:12" s="112" customFormat="1" ht="12.75" x14ac:dyDescent="0.2">
      <c r="B666" s="113"/>
      <c r="C666" s="113"/>
      <c r="D666" s="114"/>
      <c r="E666" s="113"/>
      <c r="F666" s="113"/>
      <c r="G666" s="113"/>
      <c r="H666" s="113"/>
      <c r="I666" s="113"/>
      <c r="J666" s="113"/>
      <c r="K666" s="113"/>
      <c r="L666" s="115"/>
    </row>
    <row r="667" spans="2:12" s="112" customFormat="1" ht="12.75" x14ac:dyDescent="0.2">
      <c r="B667" s="113"/>
      <c r="C667" s="113"/>
      <c r="D667" s="114"/>
      <c r="E667" s="113"/>
      <c r="F667" s="113"/>
      <c r="G667" s="113"/>
      <c r="H667" s="113"/>
      <c r="I667" s="113"/>
      <c r="J667" s="113"/>
      <c r="K667" s="113"/>
      <c r="L667" s="115"/>
    </row>
    <row r="668" spans="2:12" s="112" customFormat="1" ht="12.75" x14ac:dyDescent="0.2">
      <c r="B668" s="113"/>
      <c r="C668" s="113"/>
      <c r="D668" s="114"/>
      <c r="E668" s="113"/>
      <c r="F668" s="113"/>
      <c r="G668" s="113"/>
      <c r="H668" s="113"/>
      <c r="I668" s="113"/>
      <c r="J668" s="113"/>
      <c r="K668" s="113"/>
      <c r="L668" s="115"/>
    </row>
    <row r="669" spans="2:12" s="112" customFormat="1" ht="12.75" x14ac:dyDescent="0.2">
      <c r="B669" s="113"/>
      <c r="C669" s="113"/>
      <c r="D669" s="114"/>
      <c r="E669" s="113"/>
      <c r="F669" s="113"/>
      <c r="G669" s="113"/>
      <c r="H669" s="113"/>
      <c r="I669" s="113"/>
      <c r="J669" s="113"/>
      <c r="K669" s="113"/>
      <c r="L669" s="115"/>
    </row>
    <row r="670" spans="2:12" s="112" customFormat="1" ht="12.75" x14ac:dyDescent="0.2">
      <c r="B670" s="113"/>
      <c r="C670" s="113"/>
      <c r="D670" s="114"/>
      <c r="E670" s="113"/>
      <c r="F670" s="113"/>
      <c r="G670" s="113"/>
      <c r="H670" s="113"/>
      <c r="I670" s="113"/>
      <c r="J670" s="113"/>
      <c r="K670" s="113"/>
      <c r="L670" s="115"/>
    </row>
    <row r="671" spans="2:12" s="112" customFormat="1" ht="12.75" x14ac:dyDescent="0.2">
      <c r="B671" s="113"/>
      <c r="C671" s="113"/>
      <c r="D671" s="114"/>
      <c r="E671" s="113"/>
      <c r="F671" s="113"/>
      <c r="G671" s="113"/>
      <c r="H671" s="113"/>
      <c r="I671" s="113"/>
      <c r="J671" s="113"/>
      <c r="K671" s="113"/>
      <c r="L671" s="115"/>
    </row>
    <row r="672" spans="2:12" s="112" customFormat="1" ht="12.75" x14ac:dyDescent="0.2">
      <c r="B672" s="113"/>
      <c r="C672" s="113"/>
      <c r="D672" s="114"/>
      <c r="E672" s="113"/>
      <c r="F672" s="113"/>
      <c r="G672" s="113"/>
      <c r="H672" s="113"/>
      <c r="I672" s="113"/>
      <c r="J672" s="113"/>
      <c r="K672" s="113"/>
      <c r="L672" s="115"/>
    </row>
    <row r="673" spans="2:12" s="112" customFormat="1" ht="12.75" x14ac:dyDescent="0.2">
      <c r="B673" s="113"/>
      <c r="C673" s="113"/>
      <c r="D673" s="114"/>
      <c r="E673" s="113"/>
      <c r="F673" s="113"/>
      <c r="G673" s="113"/>
      <c r="H673" s="113"/>
      <c r="I673" s="113"/>
      <c r="J673" s="113"/>
      <c r="K673" s="113"/>
      <c r="L673" s="115"/>
    </row>
    <row r="674" spans="2:12" s="112" customFormat="1" ht="12.75" x14ac:dyDescent="0.2">
      <c r="B674" s="113"/>
      <c r="C674" s="113"/>
      <c r="D674" s="114"/>
      <c r="E674" s="113"/>
      <c r="F674" s="113"/>
      <c r="G674" s="113"/>
      <c r="H674" s="113"/>
      <c r="I674" s="113"/>
      <c r="J674" s="113"/>
      <c r="K674" s="113"/>
      <c r="L674" s="115"/>
    </row>
    <row r="675" spans="2:12" s="112" customFormat="1" ht="12.75" x14ac:dyDescent="0.2">
      <c r="B675" s="113"/>
      <c r="C675" s="113"/>
      <c r="D675" s="114"/>
      <c r="E675" s="113"/>
      <c r="F675" s="113"/>
      <c r="G675" s="113"/>
      <c r="H675" s="113"/>
      <c r="I675" s="113"/>
      <c r="J675" s="113"/>
      <c r="K675" s="113"/>
      <c r="L675" s="115"/>
    </row>
    <row r="676" spans="2:12" s="112" customFormat="1" ht="12.75" x14ac:dyDescent="0.2">
      <c r="B676" s="113"/>
      <c r="C676" s="113"/>
      <c r="D676" s="114"/>
      <c r="E676" s="113"/>
      <c r="F676" s="113"/>
      <c r="G676" s="113"/>
      <c r="H676" s="113"/>
      <c r="I676" s="113"/>
      <c r="J676" s="113"/>
      <c r="K676" s="113"/>
      <c r="L676" s="115"/>
    </row>
    <row r="677" spans="2:12" s="112" customFormat="1" ht="12.75" x14ac:dyDescent="0.2">
      <c r="B677" s="113"/>
      <c r="C677" s="113"/>
      <c r="D677" s="114"/>
      <c r="E677" s="113"/>
      <c r="F677" s="113"/>
      <c r="G677" s="113"/>
      <c r="H677" s="113"/>
      <c r="I677" s="113"/>
      <c r="J677" s="113"/>
      <c r="K677" s="113"/>
      <c r="L677" s="115"/>
    </row>
    <row r="678" spans="2:12" s="112" customFormat="1" ht="12.75" x14ac:dyDescent="0.2">
      <c r="B678" s="113"/>
      <c r="C678" s="113"/>
      <c r="D678" s="114"/>
      <c r="E678" s="113"/>
      <c r="F678" s="113"/>
      <c r="G678" s="113"/>
      <c r="H678" s="113"/>
      <c r="I678" s="113"/>
      <c r="J678" s="113"/>
      <c r="K678" s="113"/>
      <c r="L678" s="115"/>
    </row>
    <row r="679" spans="2:12" s="112" customFormat="1" ht="12.75" x14ac:dyDescent="0.2">
      <c r="B679" s="113"/>
      <c r="C679" s="113"/>
      <c r="D679" s="114"/>
      <c r="E679" s="113"/>
      <c r="F679" s="113"/>
      <c r="G679" s="113"/>
      <c r="H679" s="113"/>
      <c r="I679" s="113"/>
      <c r="J679" s="113"/>
      <c r="K679" s="113"/>
      <c r="L679" s="115"/>
    </row>
    <row r="680" spans="2:12" s="112" customFormat="1" ht="12.75" x14ac:dyDescent="0.2">
      <c r="B680" s="113"/>
      <c r="C680" s="113"/>
      <c r="D680" s="114"/>
      <c r="E680" s="113"/>
      <c r="F680" s="113"/>
      <c r="G680" s="113"/>
      <c r="H680" s="113"/>
      <c r="I680" s="113"/>
      <c r="J680" s="113"/>
      <c r="K680" s="113"/>
      <c r="L680" s="115"/>
    </row>
    <row r="681" spans="2:12" s="112" customFormat="1" ht="12.75" x14ac:dyDescent="0.2">
      <c r="B681" s="113"/>
      <c r="C681" s="113"/>
      <c r="D681" s="114"/>
      <c r="E681" s="113"/>
      <c r="F681" s="113"/>
      <c r="G681" s="113"/>
      <c r="H681" s="113"/>
      <c r="I681" s="113"/>
      <c r="J681" s="113"/>
      <c r="K681" s="113"/>
      <c r="L681" s="115"/>
    </row>
    <row r="682" spans="2:12" s="112" customFormat="1" ht="12.75" x14ac:dyDescent="0.2">
      <c r="B682" s="113"/>
      <c r="C682" s="113"/>
      <c r="D682" s="114"/>
      <c r="E682" s="113"/>
      <c r="F682" s="113"/>
      <c r="G682" s="113"/>
      <c r="H682" s="113"/>
      <c r="I682" s="113"/>
      <c r="J682" s="113"/>
      <c r="K682" s="113"/>
      <c r="L682" s="115"/>
    </row>
    <row r="683" spans="2:12" s="112" customFormat="1" ht="12.75" x14ac:dyDescent="0.2">
      <c r="B683" s="113"/>
      <c r="C683" s="113"/>
      <c r="D683" s="114"/>
      <c r="E683" s="113"/>
      <c r="F683" s="113"/>
      <c r="G683" s="113"/>
      <c r="H683" s="113"/>
      <c r="I683" s="113"/>
      <c r="J683" s="113"/>
      <c r="K683" s="113"/>
      <c r="L683" s="115"/>
    </row>
    <row r="684" spans="2:12" s="112" customFormat="1" ht="12.75" x14ac:dyDescent="0.2">
      <c r="B684" s="113"/>
      <c r="C684" s="113"/>
      <c r="D684" s="114"/>
      <c r="E684" s="113"/>
      <c r="F684" s="113"/>
      <c r="G684" s="113"/>
      <c r="H684" s="113"/>
      <c r="I684" s="113"/>
      <c r="J684" s="113"/>
      <c r="K684" s="113"/>
      <c r="L684" s="115"/>
    </row>
    <row r="685" spans="2:12" s="112" customFormat="1" ht="12.75" x14ac:dyDescent="0.2">
      <c r="B685" s="113"/>
      <c r="C685" s="113"/>
      <c r="D685" s="114"/>
      <c r="E685" s="113"/>
      <c r="F685" s="113"/>
      <c r="G685" s="113"/>
      <c r="H685" s="113"/>
      <c r="I685" s="113"/>
      <c r="J685" s="113"/>
      <c r="K685" s="113"/>
      <c r="L685" s="115"/>
    </row>
    <row r="686" spans="2:12" s="112" customFormat="1" ht="12.75" x14ac:dyDescent="0.2">
      <c r="B686" s="113"/>
      <c r="C686" s="113"/>
      <c r="D686" s="114"/>
      <c r="E686" s="113"/>
      <c r="F686" s="113"/>
      <c r="G686" s="113"/>
      <c r="H686" s="113"/>
      <c r="I686" s="113"/>
      <c r="J686" s="113"/>
      <c r="K686" s="113"/>
      <c r="L686" s="115"/>
    </row>
    <row r="687" spans="2:12" s="112" customFormat="1" ht="12.75" x14ac:dyDescent="0.2">
      <c r="B687" s="113"/>
      <c r="C687" s="113"/>
      <c r="D687" s="114"/>
      <c r="E687" s="113"/>
      <c r="F687" s="113"/>
      <c r="G687" s="113"/>
      <c r="H687" s="113"/>
      <c r="I687" s="113"/>
      <c r="J687" s="113"/>
      <c r="K687" s="113"/>
      <c r="L687" s="115"/>
    </row>
    <row r="688" spans="2:12" s="112" customFormat="1" ht="12.75" x14ac:dyDescent="0.2">
      <c r="B688" s="113"/>
      <c r="C688" s="113"/>
      <c r="D688" s="114"/>
      <c r="E688" s="113"/>
      <c r="F688" s="113"/>
      <c r="G688" s="113"/>
      <c r="H688" s="113"/>
      <c r="I688" s="113"/>
      <c r="J688" s="113"/>
      <c r="K688" s="113"/>
      <c r="L688" s="115"/>
    </row>
    <row r="689" spans="2:12" s="112" customFormat="1" ht="12.75" x14ac:dyDescent="0.2">
      <c r="B689" s="113"/>
      <c r="C689" s="113"/>
      <c r="D689" s="114"/>
      <c r="E689" s="113"/>
      <c r="F689" s="113"/>
      <c r="G689" s="113"/>
      <c r="H689" s="113"/>
      <c r="I689" s="113"/>
      <c r="J689" s="113"/>
      <c r="K689" s="113"/>
      <c r="L689" s="115"/>
    </row>
    <row r="690" spans="2:12" s="112" customFormat="1" ht="12.75" x14ac:dyDescent="0.2">
      <c r="B690" s="113"/>
      <c r="C690" s="113"/>
      <c r="D690" s="114"/>
      <c r="E690" s="113"/>
      <c r="F690" s="113"/>
      <c r="G690" s="113"/>
      <c r="H690" s="113"/>
      <c r="I690" s="113"/>
      <c r="J690" s="113"/>
      <c r="K690" s="113"/>
      <c r="L690" s="115"/>
    </row>
    <row r="691" spans="2:12" s="112" customFormat="1" ht="12.75" x14ac:dyDescent="0.2">
      <c r="B691" s="113"/>
      <c r="C691" s="113"/>
      <c r="D691" s="114"/>
      <c r="E691" s="113"/>
      <c r="F691" s="113"/>
      <c r="G691" s="113"/>
      <c r="H691" s="113"/>
      <c r="I691" s="113"/>
      <c r="J691" s="113"/>
      <c r="K691" s="113"/>
      <c r="L691" s="115"/>
    </row>
    <row r="692" spans="2:12" s="112" customFormat="1" ht="12.75" x14ac:dyDescent="0.2">
      <c r="B692" s="113"/>
      <c r="C692" s="113"/>
      <c r="D692" s="114"/>
      <c r="E692" s="113"/>
      <c r="F692" s="113"/>
      <c r="G692" s="113"/>
      <c r="H692" s="113"/>
      <c r="I692" s="113"/>
      <c r="J692" s="113"/>
      <c r="K692" s="113"/>
      <c r="L692" s="115"/>
    </row>
    <row r="693" spans="2:12" s="112" customFormat="1" ht="12.75" x14ac:dyDescent="0.2">
      <c r="B693" s="113"/>
      <c r="C693" s="113"/>
      <c r="D693" s="114"/>
      <c r="E693" s="113"/>
      <c r="F693" s="113"/>
      <c r="G693" s="113"/>
      <c r="H693" s="113"/>
      <c r="I693" s="113"/>
      <c r="J693" s="113"/>
      <c r="K693" s="113"/>
      <c r="L693" s="115"/>
    </row>
    <row r="694" spans="2:12" s="112" customFormat="1" ht="12.75" x14ac:dyDescent="0.2">
      <c r="B694" s="113"/>
      <c r="C694" s="113"/>
      <c r="D694" s="114"/>
      <c r="E694" s="113"/>
      <c r="F694" s="113"/>
      <c r="G694" s="113"/>
      <c r="H694" s="113"/>
      <c r="I694" s="113"/>
      <c r="J694" s="113"/>
      <c r="K694" s="113"/>
      <c r="L694" s="115"/>
    </row>
    <row r="695" spans="2:12" s="112" customFormat="1" ht="12.75" x14ac:dyDescent="0.2">
      <c r="B695" s="113"/>
      <c r="C695" s="113"/>
      <c r="D695" s="114"/>
      <c r="E695" s="113"/>
      <c r="F695" s="113"/>
      <c r="G695" s="113"/>
      <c r="H695" s="113"/>
      <c r="I695" s="113"/>
      <c r="J695" s="113"/>
      <c r="K695" s="113"/>
      <c r="L695" s="115"/>
    </row>
    <row r="696" spans="2:12" s="112" customFormat="1" ht="12.75" x14ac:dyDescent="0.2">
      <c r="B696" s="113"/>
      <c r="C696" s="113"/>
      <c r="D696" s="114"/>
      <c r="E696" s="113"/>
      <c r="F696" s="113"/>
      <c r="G696" s="113"/>
      <c r="H696" s="113"/>
      <c r="I696" s="113"/>
      <c r="J696" s="113"/>
      <c r="K696" s="113"/>
      <c r="L696" s="115"/>
    </row>
    <row r="697" spans="2:12" s="112" customFormat="1" ht="12.75" x14ac:dyDescent="0.2">
      <c r="B697" s="113"/>
      <c r="C697" s="113"/>
      <c r="D697" s="114"/>
      <c r="E697" s="113"/>
      <c r="F697" s="113"/>
      <c r="G697" s="113"/>
      <c r="H697" s="113"/>
      <c r="I697" s="113"/>
      <c r="J697" s="113"/>
      <c r="K697" s="113"/>
      <c r="L697" s="115"/>
    </row>
    <row r="698" spans="2:12" s="112" customFormat="1" ht="12.75" x14ac:dyDescent="0.2">
      <c r="B698" s="113"/>
      <c r="C698" s="113"/>
      <c r="D698" s="114"/>
      <c r="E698" s="113"/>
      <c r="F698" s="113"/>
      <c r="G698" s="113"/>
      <c r="H698" s="113"/>
      <c r="I698" s="113"/>
      <c r="J698" s="113"/>
      <c r="K698" s="113"/>
      <c r="L698" s="115"/>
    </row>
    <row r="699" spans="2:12" s="112" customFormat="1" ht="12.75" x14ac:dyDescent="0.2">
      <c r="B699" s="113"/>
      <c r="C699" s="113"/>
      <c r="D699" s="114"/>
      <c r="E699" s="113"/>
      <c r="F699" s="113"/>
      <c r="G699" s="113"/>
      <c r="H699" s="113"/>
      <c r="I699" s="113"/>
      <c r="J699" s="113"/>
      <c r="K699" s="113"/>
      <c r="L699" s="115"/>
    </row>
    <row r="700" spans="2:12" s="112" customFormat="1" ht="12.75" x14ac:dyDescent="0.2">
      <c r="B700" s="113"/>
      <c r="C700" s="113"/>
      <c r="D700" s="114"/>
      <c r="E700" s="113"/>
      <c r="F700" s="113"/>
      <c r="G700" s="113"/>
      <c r="H700" s="113"/>
      <c r="I700" s="113"/>
      <c r="J700" s="113"/>
      <c r="K700" s="113"/>
      <c r="L700" s="115"/>
    </row>
    <row r="701" spans="2:12" s="112" customFormat="1" ht="12.75" x14ac:dyDescent="0.2">
      <c r="B701" s="113"/>
      <c r="C701" s="113"/>
      <c r="D701" s="114"/>
      <c r="E701" s="113"/>
      <c r="F701" s="113"/>
      <c r="G701" s="113"/>
      <c r="H701" s="113"/>
      <c r="I701" s="113"/>
      <c r="J701" s="113"/>
      <c r="K701" s="113"/>
      <c r="L701" s="115"/>
    </row>
    <row r="702" spans="2:12" s="112" customFormat="1" ht="12.75" x14ac:dyDescent="0.2">
      <c r="B702" s="113"/>
      <c r="C702" s="113"/>
      <c r="D702" s="114"/>
      <c r="E702" s="113"/>
      <c r="F702" s="113"/>
      <c r="G702" s="113"/>
      <c r="H702" s="113"/>
      <c r="I702" s="113"/>
      <c r="J702" s="113"/>
      <c r="K702" s="113"/>
      <c r="L702" s="115"/>
    </row>
    <row r="703" spans="2:12" s="112" customFormat="1" ht="12.75" x14ac:dyDescent="0.2">
      <c r="B703" s="113"/>
      <c r="C703" s="113"/>
      <c r="D703" s="114"/>
      <c r="E703" s="113"/>
      <c r="F703" s="113"/>
      <c r="G703" s="113"/>
      <c r="H703" s="113"/>
      <c r="I703" s="113"/>
      <c r="J703" s="113"/>
      <c r="K703" s="113"/>
      <c r="L703" s="115"/>
    </row>
    <row r="704" spans="2:12" s="112" customFormat="1" ht="12.75" x14ac:dyDescent="0.2">
      <c r="B704" s="113"/>
      <c r="C704" s="113"/>
      <c r="D704" s="114"/>
      <c r="E704" s="113"/>
      <c r="F704" s="113"/>
      <c r="G704" s="113"/>
      <c r="H704" s="113"/>
      <c r="I704" s="113"/>
      <c r="J704" s="113"/>
      <c r="K704" s="113"/>
      <c r="L704" s="115"/>
    </row>
    <row r="705" spans="2:12" s="112" customFormat="1" ht="12.75" x14ac:dyDescent="0.2">
      <c r="B705" s="113"/>
      <c r="C705" s="113"/>
      <c r="D705" s="114"/>
      <c r="E705" s="113"/>
      <c r="F705" s="113"/>
      <c r="G705" s="113"/>
      <c r="H705" s="113"/>
      <c r="I705" s="113"/>
      <c r="J705" s="113"/>
      <c r="K705" s="113"/>
      <c r="L705" s="115"/>
    </row>
    <row r="706" spans="2:12" s="112" customFormat="1" ht="12.75" x14ac:dyDescent="0.2">
      <c r="B706" s="113"/>
      <c r="C706" s="113"/>
      <c r="D706" s="114"/>
      <c r="E706" s="113"/>
      <c r="F706" s="113"/>
      <c r="G706" s="113"/>
      <c r="H706" s="113"/>
      <c r="I706" s="113"/>
      <c r="J706" s="113"/>
      <c r="K706" s="113"/>
      <c r="L706" s="115"/>
    </row>
    <row r="707" spans="2:12" s="112" customFormat="1" ht="12.75" x14ac:dyDescent="0.2">
      <c r="B707" s="113"/>
      <c r="C707" s="113"/>
      <c r="D707" s="114"/>
      <c r="E707" s="113"/>
      <c r="F707" s="113"/>
      <c r="G707" s="113"/>
      <c r="H707" s="113"/>
      <c r="I707" s="113"/>
      <c r="J707" s="113"/>
      <c r="K707" s="113"/>
      <c r="L707" s="115"/>
    </row>
    <row r="708" spans="2:12" s="112" customFormat="1" ht="12.75" x14ac:dyDescent="0.2">
      <c r="B708" s="113"/>
      <c r="C708" s="113"/>
      <c r="D708" s="114"/>
      <c r="E708" s="113"/>
      <c r="F708" s="113"/>
      <c r="G708" s="113"/>
      <c r="H708" s="113"/>
      <c r="I708" s="113"/>
      <c r="J708" s="113"/>
      <c r="K708" s="113"/>
      <c r="L708" s="115"/>
    </row>
    <row r="709" spans="2:12" s="112" customFormat="1" ht="12.75" x14ac:dyDescent="0.2">
      <c r="B709" s="113"/>
      <c r="C709" s="113"/>
      <c r="D709" s="114"/>
      <c r="E709" s="113"/>
      <c r="F709" s="113"/>
      <c r="G709" s="113"/>
      <c r="H709" s="113"/>
      <c r="I709" s="113"/>
      <c r="J709" s="113"/>
      <c r="K709" s="113"/>
      <c r="L709" s="115"/>
    </row>
    <row r="710" spans="2:12" s="112" customFormat="1" ht="12.75" x14ac:dyDescent="0.2">
      <c r="B710" s="113"/>
      <c r="C710" s="113"/>
      <c r="D710" s="114"/>
      <c r="E710" s="113"/>
      <c r="F710" s="113"/>
      <c r="G710" s="113"/>
      <c r="H710" s="113"/>
      <c r="I710" s="113"/>
      <c r="J710" s="113"/>
      <c r="K710" s="113"/>
      <c r="L710" s="115"/>
    </row>
    <row r="711" spans="2:12" s="112" customFormat="1" ht="12.75" x14ac:dyDescent="0.2">
      <c r="B711" s="113"/>
      <c r="C711" s="113"/>
      <c r="D711" s="114"/>
      <c r="E711" s="113"/>
      <c r="F711" s="113"/>
      <c r="G711" s="113"/>
      <c r="H711" s="113"/>
      <c r="I711" s="113"/>
      <c r="J711" s="113"/>
      <c r="K711" s="113"/>
      <c r="L711" s="115"/>
    </row>
    <row r="712" spans="2:12" s="112" customFormat="1" ht="12.75" x14ac:dyDescent="0.2">
      <c r="B712" s="113"/>
      <c r="C712" s="113"/>
      <c r="D712" s="114"/>
      <c r="E712" s="113"/>
      <c r="F712" s="113"/>
      <c r="G712" s="113"/>
      <c r="H712" s="113"/>
      <c r="I712" s="113"/>
      <c r="J712" s="113"/>
      <c r="K712" s="113"/>
      <c r="L712" s="115"/>
    </row>
    <row r="713" spans="2:12" s="112" customFormat="1" ht="12.75" x14ac:dyDescent="0.2">
      <c r="B713" s="113"/>
      <c r="C713" s="113"/>
      <c r="D713" s="114"/>
      <c r="E713" s="113"/>
      <c r="F713" s="113"/>
      <c r="G713" s="113"/>
      <c r="H713" s="113"/>
      <c r="I713" s="113"/>
      <c r="J713" s="113"/>
      <c r="K713" s="113"/>
      <c r="L713" s="115"/>
    </row>
    <row r="714" spans="2:12" s="112" customFormat="1" ht="12.75" x14ac:dyDescent="0.2">
      <c r="B714" s="113"/>
      <c r="C714" s="113"/>
      <c r="D714" s="114"/>
      <c r="E714" s="113"/>
      <c r="F714" s="113"/>
      <c r="G714" s="113"/>
      <c r="H714" s="113"/>
      <c r="I714" s="113"/>
      <c r="J714" s="113"/>
      <c r="K714" s="113"/>
      <c r="L714" s="115"/>
    </row>
    <row r="715" spans="2:12" s="112" customFormat="1" ht="12.75" x14ac:dyDescent="0.2">
      <c r="B715" s="113"/>
      <c r="C715" s="113"/>
      <c r="D715" s="114"/>
      <c r="E715" s="113"/>
      <c r="F715" s="113"/>
      <c r="G715" s="113"/>
      <c r="H715" s="113"/>
      <c r="I715" s="113"/>
      <c r="J715" s="113"/>
      <c r="K715" s="113"/>
      <c r="L715" s="115"/>
    </row>
    <row r="716" spans="2:12" s="112" customFormat="1" ht="12.75" x14ac:dyDescent="0.2">
      <c r="B716" s="113"/>
      <c r="C716" s="113"/>
      <c r="D716" s="114"/>
      <c r="E716" s="113"/>
      <c r="F716" s="113"/>
      <c r="G716" s="113"/>
      <c r="H716" s="113"/>
      <c r="I716" s="113"/>
      <c r="J716" s="113"/>
      <c r="K716" s="113"/>
      <c r="L716" s="115"/>
    </row>
    <row r="717" spans="2:12" s="112" customFormat="1" ht="12.75" x14ac:dyDescent="0.2">
      <c r="B717" s="113"/>
      <c r="C717" s="113"/>
      <c r="D717" s="114"/>
      <c r="E717" s="113"/>
      <c r="F717" s="113"/>
      <c r="G717" s="113"/>
      <c r="H717" s="113"/>
      <c r="I717" s="113"/>
      <c r="J717" s="113"/>
      <c r="K717" s="113"/>
      <c r="L717" s="115"/>
    </row>
    <row r="718" spans="2:12" s="112" customFormat="1" ht="12.75" x14ac:dyDescent="0.2">
      <c r="B718" s="113"/>
      <c r="C718" s="113"/>
      <c r="D718" s="114"/>
      <c r="E718" s="113"/>
      <c r="F718" s="113"/>
      <c r="G718" s="113"/>
      <c r="H718" s="113"/>
      <c r="I718" s="113"/>
      <c r="J718" s="113"/>
      <c r="K718" s="113"/>
      <c r="L718" s="115"/>
    </row>
    <row r="719" spans="2:12" s="112" customFormat="1" ht="12.75" x14ac:dyDescent="0.2">
      <c r="B719" s="113"/>
      <c r="C719" s="113"/>
      <c r="D719" s="114"/>
      <c r="E719" s="113"/>
      <c r="F719" s="113"/>
      <c r="G719" s="113"/>
      <c r="H719" s="113"/>
      <c r="I719" s="113"/>
      <c r="J719" s="113"/>
      <c r="K719" s="113"/>
      <c r="L719" s="115"/>
    </row>
    <row r="720" spans="2:12" s="112" customFormat="1" ht="12.75" x14ac:dyDescent="0.2">
      <c r="B720" s="113"/>
      <c r="C720" s="113"/>
      <c r="D720" s="114"/>
      <c r="E720" s="113"/>
      <c r="F720" s="113"/>
      <c r="G720" s="113"/>
      <c r="H720" s="113"/>
      <c r="I720" s="113"/>
      <c r="J720" s="113"/>
      <c r="K720" s="113"/>
      <c r="L720" s="115"/>
    </row>
    <row r="721" spans="2:12" s="112" customFormat="1" ht="12.75" x14ac:dyDescent="0.2">
      <c r="B721" s="113"/>
      <c r="C721" s="113"/>
      <c r="D721" s="114"/>
      <c r="E721" s="113"/>
      <c r="F721" s="113"/>
      <c r="G721" s="113"/>
      <c r="H721" s="113"/>
      <c r="I721" s="113"/>
      <c r="J721" s="113"/>
      <c r="K721" s="113"/>
      <c r="L721" s="115"/>
    </row>
    <row r="722" spans="2:12" s="112" customFormat="1" ht="12.75" x14ac:dyDescent="0.2">
      <c r="B722" s="113"/>
      <c r="C722" s="113"/>
      <c r="D722" s="114"/>
      <c r="E722" s="113"/>
      <c r="F722" s="113"/>
      <c r="G722" s="113"/>
      <c r="H722" s="113"/>
      <c r="I722" s="113"/>
      <c r="J722" s="113"/>
      <c r="K722" s="113"/>
      <c r="L722" s="115"/>
    </row>
    <row r="723" spans="2:12" s="112" customFormat="1" ht="12.75" x14ac:dyDescent="0.2">
      <c r="B723" s="113"/>
      <c r="C723" s="113"/>
      <c r="D723" s="114"/>
      <c r="E723" s="113"/>
      <c r="F723" s="113"/>
      <c r="G723" s="113"/>
      <c r="H723" s="113"/>
      <c r="I723" s="113"/>
      <c r="J723" s="113"/>
      <c r="K723" s="113"/>
      <c r="L723" s="115"/>
    </row>
    <row r="724" spans="2:12" s="112" customFormat="1" ht="12.75" x14ac:dyDescent="0.2">
      <c r="B724" s="113"/>
      <c r="C724" s="113"/>
      <c r="D724" s="114"/>
      <c r="E724" s="113"/>
      <c r="F724" s="113"/>
      <c r="G724" s="113"/>
      <c r="H724" s="113"/>
      <c r="I724" s="113"/>
      <c r="J724" s="113"/>
      <c r="K724" s="113"/>
      <c r="L724" s="115"/>
    </row>
    <row r="725" spans="2:12" s="112" customFormat="1" ht="12.75" x14ac:dyDescent="0.2">
      <c r="B725" s="113"/>
      <c r="C725" s="113"/>
      <c r="D725" s="114"/>
      <c r="E725" s="113"/>
      <c r="F725" s="113"/>
      <c r="G725" s="113"/>
      <c r="H725" s="113"/>
      <c r="I725" s="113"/>
      <c r="J725" s="113"/>
      <c r="K725" s="113"/>
      <c r="L725" s="115"/>
    </row>
    <row r="726" spans="2:12" s="112" customFormat="1" ht="12.75" x14ac:dyDescent="0.2">
      <c r="B726" s="113"/>
      <c r="C726" s="113"/>
      <c r="D726" s="114"/>
      <c r="E726" s="113"/>
      <c r="F726" s="113"/>
      <c r="G726" s="113"/>
      <c r="H726" s="113"/>
      <c r="I726" s="113"/>
      <c r="J726" s="113"/>
      <c r="K726" s="113"/>
      <c r="L726" s="115"/>
    </row>
    <row r="727" spans="2:12" s="112" customFormat="1" ht="12.75" x14ac:dyDescent="0.2">
      <c r="B727" s="113"/>
      <c r="C727" s="113"/>
      <c r="D727" s="114"/>
      <c r="E727" s="113"/>
      <c r="F727" s="113"/>
      <c r="G727" s="113"/>
      <c r="H727" s="113"/>
      <c r="I727" s="113"/>
      <c r="J727" s="113"/>
      <c r="K727" s="113"/>
      <c r="L727" s="115"/>
    </row>
    <row r="728" spans="2:12" s="112" customFormat="1" ht="12.75" x14ac:dyDescent="0.2">
      <c r="B728" s="113"/>
      <c r="C728" s="113"/>
      <c r="D728" s="114"/>
      <c r="E728" s="113"/>
      <c r="F728" s="113"/>
      <c r="G728" s="113"/>
      <c r="H728" s="113"/>
      <c r="I728" s="113"/>
      <c r="J728" s="113"/>
      <c r="K728" s="113"/>
      <c r="L728" s="115"/>
    </row>
    <row r="729" spans="2:12" s="112" customFormat="1" ht="12.75" x14ac:dyDescent="0.2">
      <c r="B729" s="113"/>
      <c r="C729" s="113"/>
      <c r="D729" s="114"/>
      <c r="E729" s="113"/>
      <c r="F729" s="113"/>
      <c r="G729" s="113"/>
      <c r="H729" s="113"/>
      <c r="I729" s="113"/>
      <c r="J729" s="113"/>
      <c r="K729" s="113"/>
      <c r="L729" s="115"/>
    </row>
    <row r="730" spans="2:12" s="112" customFormat="1" ht="12.75" x14ac:dyDescent="0.2">
      <c r="B730" s="113"/>
      <c r="C730" s="113"/>
      <c r="D730" s="114"/>
      <c r="E730" s="113"/>
      <c r="F730" s="113"/>
      <c r="G730" s="113"/>
      <c r="H730" s="113"/>
      <c r="I730" s="113"/>
      <c r="J730" s="113"/>
      <c r="K730" s="113"/>
      <c r="L730" s="115"/>
    </row>
    <row r="731" spans="2:12" s="112" customFormat="1" ht="12.75" x14ac:dyDescent="0.2">
      <c r="B731" s="113"/>
      <c r="C731" s="113"/>
      <c r="D731" s="114"/>
      <c r="E731" s="113"/>
      <c r="F731" s="113"/>
      <c r="G731" s="113"/>
      <c r="H731" s="113"/>
      <c r="I731" s="113"/>
      <c r="J731" s="113"/>
      <c r="K731" s="113"/>
      <c r="L731" s="115"/>
    </row>
    <row r="732" spans="2:12" s="112" customFormat="1" ht="12.75" x14ac:dyDescent="0.2">
      <c r="B732" s="113"/>
      <c r="C732" s="113"/>
      <c r="D732" s="114"/>
      <c r="E732" s="113"/>
      <c r="F732" s="113"/>
      <c r="G732" s="113"/>
      <c r="H732" s="113"/>
      <c r="I732" s="113"/>
      <c r="J732" s="113"/>
      <c r="K732" s="113"/>
      <c r="L732" s="115"/>
    </row>
    <row r="733" spans="2:12" s="112" customFormat="1" ht="12.75" x14ac:dyDescent="0.2">
      <c r="B733" s="113"/>
      <c r="C733" s="113"/>
      <c r="D733" s="114"/>
      <c r="E733" s="113"/>
      <c r="F733" s="113"/>
      <c r="G733" s="113"/>
      <c r="H733" s="113"/>
      <c r="I733" s="113"/>
      <c r="J733" s="113"/>
      <c r="K733" s="113"/>
      <c r="L733" s="115"/>
    </row>
    <row r="734" spans="2:12" s="112" customFormat="1" ht="12.75" x14ac:dyDescent="0.2">
      <c r="B734" s="113"/>
      <c r="C734" s="113"/>
      <c r="D734" s="114"/>
      <c r="E734" s="113"/>
      <c r="F734" s="113"/>
      <c r="G734" s="113"/>
      <c r="H734" s="113"/>
      <c r="I734" s="113"/>
      <c r="J734" s="113"/>
      <c r="K734" s="113"/>
      <c r="L734" s="115"/>
    </row>
    <row r="735" spans="2:12" s="112" customFormat="1" ht="12.75" x14ac:dyDescent="0.2">
      <c r="B735" s="113"/>
      <c r="C735" s="113"/>
      <c r="D735" s="114"/>
      <c r="E735" s="113"/>
      <c r="F735" s="113"/>
      <c r="G735" s="113"/>
      <c r="H735" s="113"/>
      <c r="I735" s="113"/>
      <c r="J735" s="113"/>
      <c r="K735" s="113"/>
      <c r="L735" s="115"/>
    </row>
    <row r="736" spans="2:12" s="112" customFormat="1" ht="12.75" x14ac:dyDescent="0.2">
      <c r="B736" s="113"/>
      <c r="C736" s="113"/>
      <c r="D736" s="114"/>
      <c r="E736" s="113"/>
      <c r="F736" s="113"/>
      <c r="G736" s="113"/>
      <c r="H736" s="113"/>
      <c r="I736" s="113"/>
      <c r="J736" s="113"/>
      <c r="K736" s="113"/>
      <c r="L736" s="115"/>
    </row>
    <row r="737" spans="2:12" s="112" customFormat="1" ht="12.75" x14ac:dyDescent="0.2">
      <c r="B737" s="113"/>
      <c r="C737" s="113"/>
      <c r="D737" s="114"/>
      <c r="E737" s="113"/>
      <c r="F737" s="113"/>
      <c r="G737" s="113"/>
      <c r="H737" s="113"/>
      <c r="I737" s="113"/>
      <c r="J737" s="113"/>
      <c r="K737" s="113"/>
      <c r="L737" s="115"/>
    </row>
    <row r="738" spans="2:12" s="112" customFormat="1" ht="12.75" x14ac:dyDescent="0.2">
      <c r="B738" s="113"/>
      <c r="C738" s="113"/>
      <c r="D738" s="114"/>
      <c r="E738" s="113"/>
      <c r="F738" s="113"/>
      <c r="G738" s="113"/>
      <c r="H738" s="113"/>
      <c r="I738" s="113"/>
      <c r="J738" s="113"/>
      <c r="K738" s="113"/>
      <c r="L738" s="115"/>
    </row>
    <row r="739" spans="2:12" s="112" customFormat="1" ht="12.75" x14ac:dyDescent="0.2">
      <c r="B739" s="113"/>
      <c r="C739" s="113"/>
      <c r="D739" s="114"/>
      <c r="E739" s="113"/>
      <c r="F739" s="113"/>
      <c r="G739" s="113"/>
      <c r="H739" s="113"/>
      <c r="I739" s="113"/>
      <c r="J739" s="113"/>
      <c r="K739" s="113"/>
      <c r="L739" s="115"/>
    </row>
    <row r="740" spans="2:12" s="112" customFormat="1" ht="12.75" x14ac:dyDescent="0.2">
      <c r="B740" s="113"/>
      <c r="C740" s="113"/>
      <c r="D740" s="114"/>
      <c r="E740" s="113"/>
      <c r="F740" s="113"/>
      <c r="G740" s="113"/>
      <c r="H740" s="113"/>
      <c r="I740" s="113"/>
      <c r="J740" s="113"/>
      <c r="K740" s="113"/>
      <c r="L740" s="115"/>
    </row>
    <row r="741" spans="2:12" s="112" customFormat="1" ht="12.75" x14ac:dyDescent="0.2">
      <c r="B741" s="113"/>
      <c r="C741" s="113"/>
      <c r="D741" s="114"/>
      <c r="E741" s="113"/>
      <c r="F741" s="113"/>
      <c r="G741" s="113"/>
      <c r="H741" s="113"/>
      <c r="I741" s="113"/>
      <c r="J741" s="113"/>
      <c r="K741" s="113"/>
      <c r="L741" s="115"/>
    </row>
    <row r="742" spans="2:12" s="112" customFormat="1" ht="12.75" x14ac:dyDescent="0.2">
      <c r="B742" s="113"/>
      <c r="C742" s="113"/>
      <c r="D742" s="114"/>
      <c r="E742" s="113"/>
      <c r="F742" s="113"/>
      <c r="G742" s="113"/>
      <c r="H742" s="113"/>
      <c r="I742" s="113"/>
      <c r="J742" s="113"/>
      <c r="K742" s="113"/>
      <c r="L742" s="115"/>
    </row>
    <row r="743" spans="2:12" s="112" customFormat="1" ht="12.75" x14ac:dyDescent="0.2">
      <c r="B743" s="113"/>
      <c r="C743" s="113"/>
      <c r="D743" s="114"/>
      <c r="E743" s="113"/>
      <c r="F743" s="113"/>
      <c r="G743" s="113"/>
      <c r="H743" s="113"/>
      <c r="I743" s="113"/>
      <c r="J743" s="113"/>
      <c r="K743" s="113"/>
      <c r="L743" s="115"/>
    </row>
    <row r="744" spans="2:12" s="112" customFormat="1" ht="12.75" x14ac:dyDescent="0.2">
      <c r="B744" s="113"/>
      <c r="C744" s="113"/>
      <c r="D744" s="114"/>
      <c r="E744" s="113"/>
      <c r="F744" s="113"/>
      <c r="G744" s="113"/>
      <c r="H744" s="113"/>
      <c r="I744" s="113"/>
      <c r="J744" s="113"/>
      <c r="K744" s="113"/>
      <c r="L744" s="115"/>
    </row>
    <row r="745" spans="2:12" s="112" customFormat="1" ht="12.75" x14ac:dyDescent="0.2">
      <c r="B745" s="113"/>
      <c r="C745" s="113"/>
      <c r="D745" s="114"/>
      <c r="E745" s="113"/>
      <c r="F745" s="113"/>
      <c r="G745" s="113"/>
      <c r="H745" s="113"/>
      <c r="I745" s="113"/>
      <c r="J745" s="113"/>
      <c r="K745" s="113"/>
      <c r="L745" s="115"/>
    </row>
    <row r="746" spans="2:12" s="112" customFormat="1" ht="12.75" x14ac:dyDescent="0.2">
      <c r="B746" s="113"/>
      <c r="C746" s="113"/>
      <c r="D746" s="114"/>
      <c r="E746" s="113"/>
      <c r="F746" s="113"/>
      <c r="G746" s="113"/>
      <c r="H746" s="113"/>
      <c r="I746" s="113"/>
      <c r="J746" s="113"/>
      <c r="K746" s="113"/>
      <c r="L746" s="115"/>
    </row>
    <row r="747" spans="2:12" s="112" customFormat="1" ht="12.75" x14ac:dyDescent="0.2">
      <c r="B747" s="113"/>
      <c r="C747" s="113"/>
      <c r="D747" s="114"/>
      <c r="E747" s="113"/>
      <c r="F747" s="113"/>
      <c r="G747" s="113"/>
      <c r="H747" s="113"/>
      <c r="I747" s="113"/>
      <c r="J747" s="113"/>
      <c r="K747" s="113"/>
      <c r="L747" s="115"/>
    </row>
    <row r="748" spans="2:12" s="112" customFormat="1" ht="12.75" x14ac:dyDescent="0.2">
      <c r="B748" s="113"/>
      <c r="C748" s="113"/>
      <c r="D748" s="114"/>
      <c r="E748" s="113"/>
      <c r="F748" s="113"/>
      <c r="G748" s="113"/>
      <c r="H748" s="113"/>
      <c r="I748" s="113"/>
      <c r="J748" s="113"/>
      <c r="K748" s="113"/>
      <c r="L748" s="115"/>
    </row>
    <row r="749" spans="2:12" s="112" customFormat="1" ht="12.75" x14ac:dyDescent="0.2">
      <c r="B749" s="113"/>
      <c r="C749" s="113"/>
      <c r="D749" s="114"/>
      <c r="E749" s="113"/>
      <c r="F749" s="113"/>
      <c r="G749" s="113"/>
      <c r="H749" s="113"/>
      <c r="I749" s="113"/>
      <c r="J749" s="113"/>
      <c r="K749" s="113"/>
      <c r="L749" s="115"/>
    </row>
    <row r="750" spans="2:12" s="112" customFormat="1" ht="12.75" x14ac:dyDescent="0.2">
      <c r="B750" s="113"/>
      <c r="C750" s="113"/>
      <c r="D750" s="114"/>
      <c r="E750" s="113"/>
      <c r="F750" s="113"/>
      <c r="G750" s="113"/>
      <c r="H750" s="113"/>
      <c r="I750" s="113"/>
      <c r="J750" s="113"/>
      <c r="K750" s="113"/>
      <c r="L750" s="115"/>
    </row>
    <row r="751" spans="2:12" s="112" customFormat="1" ht="12.75" x14ac:dyDescent="0.2">
      <c r="B751" s="113"/>
      <c r="C751" s="113"/>
      <c r="D751" s="114"/>
      <c r="E751" s="113"/>
      <c r="F751" s="113"/>
      <c r="G751" s="113"/>
      <c r="H751" s="113"/>
      <c r="I751" s="113"/>
      <c r="J751" s="113"/>
      <c r="K751" s="113"/>
      <c r="L751" s="115"/>
    </row>
    <row r="752" spans="2:12" s="112" customFormat="1" ht="12.75" x14ac:dyDescent="0.2">
      <c r="B752" s="113"/>
      <c r="C752" s="113"/>
      <c r="D752" s="114"/>
      <c r="E752" s="113"/>
      <c r="F752" s="113"/>
      <c r="G752" s="113"/>
      <c r="H752" s="113"/>
      <c r="I752" s="113"/>
      <c r="J752" s="113"/>
      <c r="K752" s="113"/>
      <c r="L752" s="115"/>
    </row>
    <row r="753" spans="2:12" s="112" customFormat="1" ht="12.75" x14ac:dyDescent="0.2">
      <c r="B753" s="113"/>
      <c r="C753" s="113"/>
      <c r="D753" s="114"/>
      <c r="E753" s="113"/>
      <c r="F753" s="113"/>
      <c r="G753" s="113"/>
      <c r="H753" s="113"/>
      <c r="I753" s="113"/>
      <c r="J753" s="113"/>
      <c r="K753" s="113"/>
      <c r="L753" s="115"/>
    </row>
    <row r="754" spans="2:12" s="112" customFormat="1" ht="12.75" x14ac:dyDescent="0.2">
      <c r="B754" s="113"/>
      <c r="C754" s="113"/>
      <c r="D754" s="114"/>
      <c r="E754" s="113"/>
      <c r="F754" s="113"/>
      <c r="G754" s="113"/>
      <c r="H754" s="113"/>
      <c r="I754" s="113"/>
      <c r="J754" s="113"/>
      <c r="K754" s="113"/>
      <c r="L754" s="115"/>
    </row>
    <row r="755" spans="2:12" s="112" customFormat="1" ht="12.75" x14ac:dyDescent="0.2">
      <c r="B755" s="113"/>
      <c r="C755" s="113"/>
      <c r="D755" s="114"/>
      <c r="E755" s="113"/>
      <c r="F755" s="113"/>
      <c r="G755" s="113"/>
      <c r="H755" s="113"/>
      <c r="I755" s="113"/>
      <c r="J755" s="113"/>
      <c r="K755" s="113"/>
      <c r="L755" s="115"/>
    </row>
    <row r="756" spans="2:12" s="112" customFormat="1" ht="12.75" x14ac:dyDescent="0.2">
      <c r="B756" s="113"/>
      <c r="C756" s="113"/>
      <c r="D756" s="114"/>
      <c r="E756" s="113"/>
      <c r="F756" s="113"/>
      <c r="G756" s="113"/>
      <c r="H756" s="113"/>
      <c r="I756" s="113"/>
      <c r="J756" s="113"/>
      <c r="K756" s="113"/>
      <c r="L756" s="115"/>
    </row>
    <row r="757" spans="2:12" s="112" customFormat="1" ht="12.75" x14ac:dyDescent="0.2">
      <c r="B757" s="113"/>
      <c r="C757" s="113"/>
      <c r="D757" s="114"/>
      <c r="E757" s="113"/>
      <c r="F757" s="113"/>
      <c r="G757" s="113"/>
      <c r="H757" s="113"/>
      <c r="I757" s="113"/>
      <c r="J757" s="113"/>
      <c r="K757" s="113"/>
      <c r="L757" s="115"/>
    </row>
    <row r="758" spans="2:12" s="112" customFormat="1" ht="12.75" x14ac:dyDescent="0.2">
      <c r="B758" s="113"/>
      <c r="C758" s="113"/>
      <c r="D758" s="114"/>
      <c r="E758" s="113"/>
      <c r="F758" s="113"/>
      <c r="G758" s="113"/>
      <c r="H758" s="113"/>
      <c r="I758" s="113"/>
      <c r="J758" s="113"/>
      <c r="K758" s="113"/>
      <c r="L758" s="115"/>
    </row>
    <row r="759" spans="2:12" s="112" customFormat="1" ht="12.75" x14ac:dyDescent="0.2">
      <c r="B759" s="113"/>
      <c r="C759" s="113"/>
      <c r="D759" s="114"/>
      <c r="E759" s="113"/>
      <c r="F759" s="113"/>
      <c r="G759" s="113"/>
      <c r="H759" s="113"/>
      <c r="I759" s="113"/>
      <c r="J759" s="113"/>
      <c r="K759" s="113"/>
      <c r="L759" s="115"/>
    </row>
    <row r="760" spans="2:12" s="112" customFormat="1" ht="12.75" x14ac:dyDescent="0.2">
      <c r="B760" s="113"/>
      <c r="C760" s="113"/>
      <c r="D760" s="114"/>
      <c r="E760" s="113"/>
      <c r="F760" s="113"/>
      <c r="G760" s="113"/>
      <c r="H760" s="113"/>
      <c r="I760" s="113"/>
      <c r="J760" s="113"/>
      <c r="K760" s="113"/>
      <c r="L760" s="115"/>
    </row>
    <row r="761" spans="2:12" s="112" customFormat="1" ht="12.75" x14ac:dyDescent="0.2">
      <c r="B761" s="113"/>
      <c r="C761" s="113"/>
      <c r="D761" s="114"/>
      <c r="E761" s="113"/>
      <c r="F761" s="113"/>
      <c r="G761" s="113"/>
      <c r="H761" s="113"/>
      <c r="I761" s="113"/>
      <c r="J761" s="113"/>
      <c r="K761" s="113"/>
      <c r="L761" s="115"/>
    </row>
    <row r="762" spans="2:12" s="112" customFormat="1" ht="12.75" x14ac:dyDescent="0.2">
      <c r="B762" s="113"/>
      <c r="C762" s="113"/>
      <c r="D762" s="114"/>
      <c r="E762" s="113"/>
      <c r="F762" s="113"/>
      <c r="G762" s="113"/>
      <c r="H762" s="113"/>
      <c r="I762" s="113"/>
      <c r="J762" s="113"/>
      <c r="K762" s="113"/>
      <c r="L762" s="115"/>
    </row>
    <row r="763" spans="2:12" s="112" customFormat="1" ht="12.75" x14ac:dyDescent="0.2">
      <c r="B763" s="113"/>
      <c r="C763" s="113"/>
      <c r="D763" s="114"/>
      <c r="E763" s="113"/>
      <c r="F763" s="113"/>
      <c r="G763" s="113"/>
      <c r="H763" s="113"/>
      <c r="I763" s="113"/>
      <c r="J763" s="113"/>
      <c r="K763" s="113"/>
      <c r="L763" s="115"/>
    </row>
    <row r="764" spans="2:12" s="112" customFormat="1" ht="12.75" x14ac:dyDescent="0.2">
      <c r="B764" s="113"/>
      <c r="C764" s="113"/>
      <c r="D764" s="114"/>
      <c r="E764" s="113"/>
      <c r="F764" s="113"/>
      <c r="G764" s="113"/>
      <c r="H764" s="113"/>
      <c r="I764" s="113"/>
      <c r="J764" s="113"/>
      <c r="K764" s="113"/>
      <c r="L764" s="115"/>
    </row>
    <row r="765" spans="2:12" s="112" customFormat="1" ht="12.75" x14ac:dyDescent="0.2">
      <c r="B765" s="113"/>
      <c r="C765" s="113"/>
      <c r="D765" s="114"/>
      <c r="E765" s="113"/>
      <c r="F765" s="113"/>
      <c r="G765" s="113"/>
      <c r="H765" s="113"/>
      <c r="I765" s="113"/>
      <c r="J765" s="113"/>
      <c r="K765" s="113"/>
      <c r="L765" s="115"/>
    </row>
    <row r="766" spans="2:12" s="112" customFormat="1" ht="12.75" x14ac:dyDescent="0.2">
      <c r="B766" s="113"/>
      <c r="C766" s="113"/>
      <c r="D766" s="114"/>
      <c r="E766" s="113"/>
      <c r="F766" s="113"/>
      <c r="G766" s="113"/>
      <c r="H766" s="113"/>
      <c r="I766" s="113"/>
      <c r="J766" s="113"/>
      <c r="K766" s="113"/>
      <c r="L766" s="115"/>
    </row>
    <row r="767" spans="2:12" s="112" customFormat="1" ht="12.75" x14ac:dyDescent="0.2">
      <c r="B767" s="113"/>
      <c r="C767" s="113"/>
      <c r="D767" s="114"/>
      <c r="E767" s="113"/>
      <c r="F767" s="113"/>
      <c r="G767" s="113"/>
      <c r="H767" s="113"/>
      <c r="I767" s="113"/>
      <c r="J767" s="113"/>
      <c r="K767" s="113"/>
      <c r="L767" s="115"/>
    </row>
    <row r="768" spans="2:12" s="112" customFormat="1" ht="12.75" x14ac:dyDescent="0.2">
      <c r="B768" s="113"/>
      <c r="C768" s="113"/>
      <c r="D768" s="114"/>
      <c r="E768" s="113"/>
      <c r="F768" s="113"/>
      <c r="G768" s="113"/>
      <c r="H768" s="113"/>
      <c r="I768" s="113"/>
      <c r="J768" s="113"/>
      <c r="K768" s="113"/>
      <c r="L768" s="115"/>
    </row>
    <row r="769" spans="2:12" s="112" customFormat="1" ht="12.75" x14ac:dyDescent="0.2">
      <c r="B769" s="113"/>
      <c r="C769" s="113"/>
      <c r="D769" s="114"/>
      <c r="E769" s="113"/>
      <c r="F769" s="113"/>
      <c r="G769" s="113"/>
      <c r="H769" s="113"/>
      <c r="I769" s="113"/>
      <c r="J769" s="113"/>
      <c r="K769" s="113"/>
      <c r="L769" s="115"/>
    </row>
    <row r="770" spans="2:12" s="112" customFormat="1" ht="12.75" x14ac:dyDescent="0.2">
      <c r="B770" s="113"/>
      <c r="C770" s="113"/>
      <c r="D770" s="114"/>
      <c r="E770" s="113"/>
      <c r="F770" s="113"/>
      <c r="G770" s="113"/>
      <c r="H770" s="113"/>
      <c r="I770" s="113"/>
      <c r="J770" s="113"/>
      <c r="K770" s="113"/>
      <c r="L770" s="115"/>
    </row>
    <row r="771" spans="2:12" s="112" customFormat="1" ht="12.75" x14ac:dyDescent="0.2">
      <c r="B771" s="113"/>
      <c r="C771" s="113"/>
      <c r="D771" s="114"/>
      <c r="E771" s="113"/>
      <c r="F771" s="113"/>
      <c r="G771" s="113"/>
      <c r="H771" s="113"/>
      <c r="I771" s="113"/>
      <c r="J771" s="113"/>
      <c r="K771" s="113"/>
      <c r="L771" s="115"/>
    </row>
    <row r="772" spans="2:12" s="112" customFormat="1" ht="12.75" x14ac:dyDescent="0.2">
      <c r="B772" s="113"/>
      <c r="C772" s="113"/>
      <c r="D772" s="114"/>
      <c r="E772" s="113"/>
      <c r="F772" s="113"/>
      <c r="G772" s="113"/>
      <c r="H772" s="113"/>
      <c r="I772" s="113"/>
      <c r="J772" s="113"/>
      <c r="K772" s="113"/>
      <c r="L772" s="115"/>
    </row>
    <row r="773" spans="2:12" s="112" customFormat="1" ht="12.75" x14ac:dyDescent="0.2">
      <c r="B773" s="113"/>
      <c r="C773" s="113"/>
      <c r="D773" s="114"/>
      <c r="E773" s="113"/>
      <c r="F773" s="113"/>
      <c r="G773" s="113"/>
      <c r="H773" s="113"/>
      <c r="I773" s="113"/>
      <c r="J773" s="113"/>
      <c r="K773" s="113"/>
      <c r="L773" s="115"/>
    </row>
    <row r="774" spans="2:12" s="112" customFormat="1" ht="12.75" x14ac:dyDescent="0.2">
      <c r="B774" s="113"/>
      <c r="C774" s="113"/>
      <c r="D774" s="114"/>
      <c r="E774" s="113"/>
      <c r="F774" s="113"/>
      <c r="G774" s="113"/>
      <c r="H774" s="113"/>
      <c r="I774" s="113"/>
      <c r="J774" s="113"/>
      <c r="K774" s="113"/>
      <c r="L774" s="115"/>
    </row>
    <row r="775" spans="2:12" s="112" customFormat="1" ht="12.75" x14ac:dyDescent="0.2">
      <c r="B775" s="113"/>
      <c r="C775" s="113"/>
      <c r="D775" s="114"/>
      <c r="E775" s="113"/>
      <c r="F775" s="113"/>
      <c r="G775" s="113"/>
      <c r="H775" s="113"/>
      <c r="I775" s="113"/>
      <c r="J775" s="113"/>
      <c r="K775" s="113"/>
      <c r="L775" s="115"/>
    </row>
    <row r="776" spans="2:12" s="112" customFormat="1" ht="12.75" x14ac:dyDescent="0.2">
      <c r="B776" s="113"/>
      <c r="C776" s="113"/>
      <c r="D776" s="114"/>
      <c r="E776" s="113"/>
      <c r="F776" s="113"/>
      <c r="G776" s="113"/>
      <c r="H776" s="113"/>
      <c r="I776" s="113"/>
      <c r="J776" s="113"/>
      <c r="K776" s="113"/>
      <c r="L776" s="115"/>
    </row>
    <row r="777" spans="2:12" s="112" customFormat="1" ht="12.75" x14ac:dyDescent="0.2">
      <c r="B777" s="113"/>
      <c r="C777" s="113"/>
      <c r="D777" s="114"/>
      <c r="E777" s="113"/>
      <c r="F777" s="113"/>
      <c r="G777" s="113"/>
      <c r="H777" s="113"/>
      <c r="I777" s="113"/>
      <c r="J777" s="113"/>
      <c r="K777" s="113"/>
      <c r="L777" s="115"/>
    </row>
    <row r="778" spans="2:12" s="112" customFormat="1" ht="12.75" x14ac:dyDescent="0.2">
      <c r="B778" s="113"/>
      <c r="C778" s="113"/>
      <c r="D778" s="114"/>
      <c r="E778" s="113"/>
      <c r="F778" s="113"/>
      <c r="G778" s="113"/>
      <c r="H778" s="113"/>
      <c r="I778" s="113"/>
      <c r="J778" s="113"/>
      <c r="K778" s="113"/>
      <c r="L778" s="115"/>
    </row>
    <row r="779" spans="2:12" s="112" customFormat="1" ht="12.75" x14ac:dyDescent="0.2">
      <c r="B779" s="113"/>
      <c r="C779" s="113"/>
      <c r="D779" s="114"/>
      <c r="E779" s="113"/>
      <c r="F779" s="113"/>
      <c r="G779" s="113"/>
      <c r="H779" s="113"/>
      <c r="I779" s="113"/>
      <c r="J779" s="113"/>
      <c r="K779" s="113"/>
      <c r="L779" s="115"/>
    </row>
    <row r="780" spans="2:12" s="112" customFormat="1" ht="12.75" x14ac:dyDescent="0.2">
      <c r="B780" s="113"/>
      <c r="C780" s="113"/>
      <c r="D780" s="114"/>
      <c r="E780" s="113"/>
      <c r="F780" s="113"/>
      <c r="G780" s="113"/>
      <c r="H780" s="113"/>
      <c r="I780" s="113"/>
      <c r="J780" s="113"/>
      <c r="K780" s="113"/>
      <c r="L780" s="115"/>
    </row>
    <row r="781" spans="2:12" s="112" customFormat="1" ht="12.75" x14ac:dyDescent="0.2">
      <c r="B781" s="113"/>
      <c r="C781" s="113"/>
      <c r="D781" s="114"/>
      <c r="E781" s="113"/>
      <c r="F781" s="113"/>
      <c r="G781" s="113"/>
      <c r="H781" s="113"/>
      <c r="I781" s="113"/>
      <c r="J781" s="113"/>
      <c r="K781" s="113"/>
      <c r="L781" s="115"/>
    </row>
    <row r="782" spans="2:12" s="112" customFormat="1" ht="12.75" x14ac:dyDescent="0.2">
      <c r="B782" s="113"/>
      <c r="C782" s="113"/>
      <c r="D782" s="114"/>
      <c r="E782" s="113"/>
      <c r="F782" s="113"/>
      <c r="G782" s="113"/>
      <c r="H782" s="113"/>
      <c r="I782" s="113"/>
      <c r="J782" s="113"/>
      <c r="K782" s="113"/>
      <c r="L782" s="115"/>
    </row>
    <row r="783" spans="2:12" s="112" customFormat="1" ht="12.75" x14ac:dyDescent="0.2">
      <c r="B783" s="113"/>
      <c r="C783" s="113"/>
      <c r="D783" s="114"/>
      <c r="E783" s="113"/>
      <c r="F783" s="113"/>
      <c r="G783" s="113"/>
      <c r="H783" s="113"/>
      <c r="I783" s="113"/>
      <c r="J783" s="113"/>
      <c r="K783" s="113"/>
      <c r="L783" s="115"/>
    </row>
    <row r="784" spans="2:12" s="112" customFormat="1" ht="12.75" x14ac:dyDescent="0.2">
      <c r="B784" s="113"/>
      <c r="C784" s="113"/>
      <c r="D784" s="114"/>
      <c r="E784" s="113"/>
      <c r="F784" s="113"/>
      <c r="G784" s="113"/>
      <c r="H784" s="113"/>
      <c r="I784" s="113"/>
      <c r="J784" s="113"/>
      <c r="K784" s="113"/>
      <c r="L784" s="115"/>
    </row>
    <row r="785" spans="2:12" s="112" customFormat="1" ht="12.75" x14ac:dyDescent="0.2">
      <c r="B785" s="113"/>
      <c r="C785" s="113"/>
      <c r="D785" s="114"/>
      <c r="E785" s="113"/>
      <c r="F785" s="113"/>
      <c r="G785" s="113"/>
      <c r="H785" s="113"/>
      <c r="I785" s="113"/>
      <c r="J785" s="113"/>
      <c r="K785" s="113"/>
      <c r="L785" s="115"/>
    </row>
    <row r="786" spans="2:12" s="112" customFormat="1" ht="12.75" x14ac:dyDescent="0.2">
      <c r="B786" s="113"/>
      <c r="C786" s="113"/>
      <c r="D786" s="114"/>
      <c r="E786" s="113"/>
      <c r="F786" s="113"/>
      <c r="G786" s="113"/>
      <c r="H786" s="113"/>
      <c r="I786" s="113"/>
      <c r="J786" s="113"/>
      <c r="K786" s="113"/>
      <c r="L786" s="115"/>
    </row>
    <row r="787" spans="2:12" s="112" customFormat="1" ht="12.75" x14ac:dyDescent="0.2">
      <c r="B787" s="113"/>
      <c r="C787" s="113"/>
      <c r="D787" s="114"/>
      <c r="E787" s="113"/>
      <c r="F787" s="113"/>
      <c r="G787" s="113"/>
      <c r="H787" s="113"/>
      <c r="I787" s="113"/>
      <c r="J787" s="113"/>
      <c r="K787" s="113"/>
      <c r="L787" s="115"/>
    </row>
    <row r="788" spans="2:12" s="112" customFormat="1" ht="12.75" x14ac:dyDescent="0.2">
      <c r="B788" s="113"/>
      <c r="C788" s="113"/>
      <c r="D788" s="114"/>
      <c r="E788" s="113"/>
      <c r="F788" s="113"/>
      <c r="G788" s="113"/>
      <c r="H788" s="113"/>
      <c r="I788" s="113"/>
      <c r="J788" s="113"/>
      <c r="K788" s="113"/>
      <c r="L788" s="115"/>
    </row>
    <row r="789" spans="2:12" s="112" customFormat="1" ht="12.75" x14ac:dyDescent="0.2">
      <c r="B789" s="113"/>
      <c r="C789" s="113"/>
      <c r="D789" s="114"/>
      <c r="E789" s="113"/>
      <c r="F789" s="113"/>
      <c r="G789" s="113"/>
      <c r="H789" s="113"/>
      <c r="I789" s="113"/>
      <c r="J789" s="113"/>
      <c r="K789" s="113"/>
      <c r="L789" s="115"/>
    </row>
    <row r="790" spans="2:12" s="112" customFormat="1" ht="12.75" x14ac:dyDescent="0.2">
      <c r="B790" s="113"/>
      <c r="C790" s="113"/>
      <c r="D790" s="114"/>
      <c r="E790" s="113"/>
      <c r="F790" s="113"/>
      <c r="G790" s="113"/>
      <c r="H790" s="113"/>
      <c r="I790" s="113"/>
      <c r="J790" s="113"/>
      <c r="K790" s="113"/>
      <c r="L790" s="115"/>
    </row>
    <row r="791" spans="2:12" s="112" customFormat="1" ht="12.75" x14ac:dyDescent="0.2">
      <c r="B791" s="113"/>
      <c r="C791" s="113"/>
      <c r="D791" s="114"/>
      <c r="E791" s="113"/>
      <c r="F791" s="113"/>
      <c r="G791" s="113"/>
      <c r="H791" s="113"/>
      <c r="I791" s="113"/>
      <c r="J791" s="113"/>
      <c r="K791" s="113"/>
      <c r="L791" s="115"/>
    </row>
    <row r="792" spans="2:12" s="112" customFormat="1" ht="12.75" x14ac:dyDescent="0.2">
      <c r="B792" s="113"/>
      <c r="C792" s="113"/>
      <c r="D792" s="114"/>
      <c r="E792" s="113"/>
      <c r="F792" s="113"/>
      <c r="G792" s="113"/>
      <c r="H792" s="113"/>
      <c r="I792" s="113"/>
      <c r="J792" s="113"/>
      <c r="K792" s="113"/>
      <c r="L792" s="115"/>
    </row>
    <row r="793" spans="2:12" s="112" customFormat="1" ht="12.75" x14ac:dyDescent="0.2">
      <c r="B793" s="113"/>
      <c r="C793" s="113"/>
      <c r="D793" s="114"/>
      <c r="E793" s="113"/>
      <c r="F793" s="113"/>
      <c r="G793" s="113"/>
      <c r="H793" s="113"/>
      <c r="I793" s="113"/>
      <c r="J793" s="113"/>
      <c r="K793" s="113"/>
      <c r="L793" s="115"/>
    </row>
  </sheetData>
  <mergeCells count="131">
    <mergeCell ref="S29:S32"/>
    <mergeCell ref="T29:T32"/>
    <mergeCell ref="A30:A31"/>
    <mergeCell ref="B30:B31"/>
    <mergeCell ref="C30:C31"/>
    <mergeCell ref="D30:D31"/>
    <mergeCell ref="E30:F31"/>
    <mergeCell ref="G30:H31"/>
    <mergeCell ref="B32:D32"/>
    <mergeCell ref="E32:I32"/>
    <mergeCell ref="R29:R32"/>
    <mergeCell ref="N29:N32"/>
    <mergeCell ref="O29:O32"/>
    <mergeCell ref="P29:P32"/>
    <mergeCell ref="Q29:Q32"/>
    <mergeCell ref="M29:M32"/>
    <mergeCell ref="S25:S26"/>
    <mergeCell ref="T25:T26"/>
    <mergeCell ref="E26:F26"/>
    <mergeCell ref="G26:H26"/>
    <mergeCell ref="M27:M28"/>
    <mergeCell ref="N27:N28"/>
    <mergeCell ref="O27:O28"/>
    <mergeCell ref="P27:P28"/>
    <mergeCell ref="Q27:Q28"/>
    <mergeCell ref="R27:R28"/>
    <mergeCell ref="S27:S28"/>
    <mergeCell ref="T27:T28"/>
    <mergeCell ref="E27:F27"/>
    <mergeCell ref="G27:H27"/>
    <mergeCell ref="E28:F28"/>
    <mergeCell ref="G28:H28"/>
    <mergeCell ref="M25:M26"/>
    <mergeCell ref="N25:N26"/>
    <mergeCell ref="O25:O26"/>
    <mergeCell ref="P25:P26"/>
    <mergeCell ref="Q25:Q26"/>
    <mergeCell ref="R25:R26"/>
    <mergeCell ref="R18:R19"/>
    <mergeCell ref="S18:S19"/>
    <mergeCell ref="T18:T19"/>
    <mergeCell ref="P20:P21"/>
    <mergeCell ref="Q20:Q21"/>
    <mergeCell ref="R20:R21"/>
    <mergeCell ref="S20:S21"/>
    <mergeCell ref="T20:T21"/>
    <mergeCell ref="T22:T24"/>
    <mergeCell ref="O12:O13"/>
    <mergeCell ref="P12:P13"/>
    <mergeCell ref="A18:A20"/>
    <mergeCell ref="B18:B20"/>
    <mergeCell ref="C18:C20"/>
    <mergeCell ref="D18:D20"/>
    <mergeCell ref="E18:F20"/>
    <mergeCell ref="G18:H20"/>
    <mergeCell ref="M18:M19"/>
    <mergeCell ref="N18:N19"/>
    <mergeCell ref="O18:O19"/>
    <mergeCell ref="M20:M21"/>
    <mergeCell ref="N20:N21"/>
    <mergeCell ref="O20:O21"/>
    <mergeCell ref="A21:A24"/>
    <mergeCell ref="K21:K24"/>
    <mergeCell ref="M22:M24"/>
    <mergeCell ref="N22:N24"/>
    <mergeCell ref="O22:O24"/>
    <mergeCell ref="P22:P24"/>
    <mergeCell ref="J21:J24"/>
    <mergeCell ref="P18:P19"/>
    <mergeCell ref="A7:T7"/>
    <mergeCell ref="A9:A10"/>
    <mergeCell ref="B9:B10"/>
    <mergeCell ref="C9:D9"/>
    <mergeCell ref="E9:F10"/>
    <mergeCell ref="G9:H10"/>
    <mergeCell ref="I9:I10"/>
    <mergeCell ref="J9:K9"/>
    <mergeCell ref="M9:M10"/>
    <mergeCell ref="N9:N10"/>
    <mergeCell ref="O9:O10"/>
    <mergeCell ref="P9:P10"/>
    <mergeCell ref="Q9:T9"/>
    <mergeCell ref="A8:K8"/>
    <mergeCell ref="T12:T13"/>
    <mergeCell ref="A14:A17"/>
    <mergeCell ref="B14:B17"/>
    <mergeCell ref="C14:C17"/>
    <mergeCell ref="D14:D17"/>
    <mergeCell ref="A11:A13"/>
    <mergeCell ref="B11:B13"/>
    <mergeCell ref="C11:C13"/>
    <mergeCell ref="D11:D13"/>
    <mergeCell ref="E11:F13"/>
    <mergeCell ref="Q12:Q13"/>
    <mergeCell ref="R12:R13"/>
    <mergeCell ref="S12:S13"/>
    <mergeCell ref="G11:H13"/>
    <mergeCell ref="M12:M13"/>
    <mergeCell ref="N12:N13"/>
    <mergeCell ref="Q16:Q17"/>
    <mergeCell ref="R16:R17"/>
    <mergeCell ref="S16:S17"/>
    <mergeCell ref="J14:J15"/>
    <mergeCell ref="K14:K15"/>
    <mergeCell ref="M14:M15"/>
    <mergeCell ref="N14:N15"/>
    <mergeCell ref="M16:M17"/>
    <mergeCell ref="M35:T35"/>
    <mergeCell ref="B33:D33"/>
    <mergeCell ref="E33:I33"/>
    <mergeCell ref="B34:D34"/>
    <mergeCell ref="E34:I34"/>
    <mergeCell ref="E29:F29"/>
    <mergeCell ref="G29:H29"/>
    <mergeCell ref="E14:F17"/>
    <mergeCell ref="G14:H17"/>
    <mergeCell ref="I14:I15"/>
    <mergeCell ref="B21:B24"/>
    <mergeCell ref="C21:C24"/>
    <mergeCell ref="D21:D24"/>
    <mergeCell ref="E21:F24"/>
    <mergeCell ref="G21:H24"/>
    <mergeCell ref="I21:I24"/>
    <mergeCell ref="N16:N17"/>
    <mergeCell ref="O16:O17"/>
    <mergeCell ref="P16:P17"/>
    <mergeCell ref="Q22:Q24"/>
    <mergeCell ref="R22:R24"/>
    <mergeCell ref="S22:S24"/>
    <mergeCell ref="T16:T17"/>
    <mergeCell ref="Q18:Q19"/>
  </mergeCells>
  <hyperlinks>
    <hyperlink ref="B6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1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93"/>
  <sheetViews>
    <sheetView zoomScale="50" zoomScaleNormal="50" workbookViewId="0">
      <selection activeCell="E3" sqref="E3"/>
    </sheetView>
  </sheetViews>
  <sheetFormatPr defaultRowHeight="12.75" x14ac:dyDescent="0.2"/>
  <cols>
    <col min="1" max="1" width="82.7109375" style="264" customWidth="1"/>
    <col min="2" max="2" width="18.28515625" style="264" customWidth="1"/>
    <col min="3" max="6" width="25.85546875" style="264" customWidth="1"/>
    <col min="7" max="9" width="28" style="264" customWidth="1"/>
    <col min="10" max="13" width="25.85546875" style="264" customWidth="1"/>
    <col min="14" max="14" width="27" style="264" customWidth="1"/>
    <col min="15" max="15" width="26.140625" style="264" customWidth="1"/>
    <col min="16" max="17" width="27.140625" style="264" customWidth="1"/>
    <col min="18" max="130" width="9.140625" style="264"/>
    <col min="131" max="131" width="58.140625" style="264" customWidth="1"/>
    <col min="132" max="132" width="15.140625" style="264" customWidth="1"/>
    <col min="133" max="135" width="25.85546875" style="264" customWidth="1"/>
    <col min="136" max="138" width="28" style="264" customWidth="1"/>
    <col min="139" max="141" width="25.85546875" style="264" customWidth="1"/>
    <col min="142" max="142" width="29" style="264" customWidth="1"/>
    <col min="143" max="143" width="26.140625" style="264" customWidth="1"/>
    <col min="144" max="145" width="27.140625" style="264" customWidth="1"/>
    <col min="146" max="16384" width="9.140625" style="264"/>
  </cols>
  <sheetData>
    <row r="1" spans="1:16" customFormat="1" ht="15" x14ac:dyDescent="0.25"/>
    <row r="2" spans="1:16" customFormat="1" ht="15" x14ac:dyDescent="0.25"/>
    <row r="3" spans="1:16" customFormat="1" ht="36" x14ac:dyDescent="0.55000000000000004">
      <c r="D3" s="264"/>
      <c r="E3" s="270" t="s">
        <v>122</v>
      </c>
    </row>
    <row r="4" spans="1:16" customFormat="1" ht="15" x14ac:dyDescent="0.25"/>
    <row r="5" spans="1:16" customFormat="1" ht="42.75" customHeight="1" x14ac:dyDescent="0.5">
      <c r="A5" s="267"/>
      <c r="B5" s="267"/>
      <c r="C5" s="267"/>
      <c r="D5" s="268"/>
      <c r="E5" s="267"/>
      <c r="F5" s="267"/>
    </row>
    <row r="6" spans="1:16" customFormat="1" ht="31.5" x14ac:dyDescent="0.5">
      <c r="A6" s="266" t="s">
        <v>746</v>
      </c>
      <c r="B6" s="267"/>
      <c r="C6" s="267"/>
      <c r="D6" s="267"/>
      <c r="E6" s="267"/>
      <c r="F6" s="267"/>
    </row>
    <row r="7" spans="1:16" customFormat="1" ht="31.5" x14ac:dyDescent="0.5">
      <c r="A7" s="267"/>
      <c r="B7" s="269" t="s">
        <v>29</v>
      </c>
      <c r="C7" s="267"/>
      <c r="D7" s="267"/>
      <c r="E7" s="267"/>
      <c r="F7" s="267"/>
    </row>
    <row r="8" spans="1:16" customFormat="1" ht="31.5" x14ac:dyDescent="0.5">
      <c r="A8" s="267"/>
      <c r="B8" s="744" t="s">
        <v>1193</v>
      </c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</row>
    <row r="9" spans="1:16" s="254" customFormat="1" ht="50.25" customHeight="1" x14ac:dyDescent="0.45">
      <c r="A9" s="266" t="s">
        <v>119</v>
      </c>
      <c r="N9" s="745" t="s">
        <v>221</v>
      </c>
      <c r="O9" s="746"/>
      <c r="P9" s="255">
        <v>42136</v>
      </c>
    </row>
    <row r="10" spans="1:16" s="254" customFormat="1" ht="20.25" x14ac:dyDescent="0.25"/>
    <row r="11" spans="1:16" s="254" customFormat="1" ht="23.25" x14ac:dyDescent="0.25">
      <c r="A11" s="702" t="s">
        <v>676</v>
      </c>
      <c r="B11" s="703" t="s">
        <v>1160</v>
      </c>
      <c r="C11" s="703" t="s">
        <v>1161</v>
      </c>
      <c r="D11" s="703" t="s">
        <v>1162</v>
      </c>
      <c r="E11" s="702" t="s">
        <v>677</v>
      </c>
      <c r="F11" s="704"/>
      <c r="G11" s="704"/>
      <c r="H11" s="704"/>
      <c r="I11" s="704"/>
      <c r="J11" s="704"/>
      <c r="K11" s="704"/>
      <c r="L11" s="704"/>
      <c r="M11" s="704"/>
      <c r="N11" s="704"/>
      <c r="O11" s="704"/>
      <c r="P11" s="705"/>
    </row>
    <row r="12" spans="1:16" s="254" customFormat="1" ht="23.25" x14ac:dyDescent="0.25">
      <c r="A12" s="702"/>
      <c r="B12" s="706"/>
      <c r="C12" s="706"/>
      <c r="D12" s="706"/>
      <c r="E12" s="702" t="s">
        <v>678</v>
      </c>
      <c r="F12" s="704"/>
      <c r="G12" s="704"/>
      <c r="H12" s="704"/>
      <c r="I12" s="704"/>
      <c r="J12" s="705"/>
      <c r="K12" s="702" t="s">
        <v>679</v>
      </c>
      <c r="L12" s="704"/>
      <c r="M12" s="704"/>
      <c r="N12" s="704"/>
      <c r="O12" s="705"/>
      <c r="P12" s="703" t="s">
        <v>1163</v>
      </c>
    </row>
    <row r="13" spans="1:16" s="254" customFormat="1" ht="93" x14ac:dyDescent="0.25">
      <c r="A13" s="707"/>
      <c r="B13" s="708"/>
      <c r="C13" s="708"/>
      <c r="D13" s="708"/>
      <c r="E13" s="709" t="s">
        <v>1164</v>
      </c>
      <c r="F13" s="710" t="s">
        <v>1165</v>
      </c>
      <c r="G13" s="711" t="s">
        <v>1166</v>
      </c>
      <c r="H13" s="711" t="s">
        <v>1167</v>
      </c>
      <c r="I13" s="711" t="s">
        <v>1168</v>
      </c>
      <c r="J13" s="711" t="s">
        <v>1169</v>
      </c>
      <c r="K13" s="711" t="s">
        <v>1170</v>
      </c>
      <c r="L13" s="711" t="s">
        <v>1171</v>
      </c>
      <c r="M13" s="711" t="s">
        <v>1172</v>
      </c>
      <c r="N13" s="711" t="s">
        <v>1173</v>
      </c>
      <c r="O13" s="711" t="s">
        <v>1174</v>
      </c>
      <c r="P13" s="708"/>
    </row>
    <row r="14" spans="1:16" s="254" customFormat="1" ht="23.25" x14ac:dyDescent="0.25">
      <c r="A14" s="702" t="s">
        <v>680</v>
      </c>
      <c r="B14" s="704"/>
      <c r="C14" s="705"/>
      <c r="D14" s="712"/>
      <c r="E14" s="712" t="s">
        <v>681</v>
      </c>
      <c r="F14" s="712" t="s">
        <v>681</v>
      </c>
      <c r="G14" s="712" t="s">
        <v>682</v>
      </c>
      <c r="H14" s="712" t="s">
        <v>682</v>
      </c>
      <c r="I14" s="712" t="s">
        <v>683</v>
      </c>
      <c r="J14" s="712" t="s">
        <v>682</v>
      </c>
      <c r="K14" s="712" t="s">
        <v>681</v>
      </c>
      <c r="L14" s="712" t="s">
        <v>684</v>
      </c>
      <c r="M14" s="712" t="s">
        <v>684</v>
      </c>
      <c r="N14" s="712" t="s">
        <v>685</v>
      </c>
      <c r="O14" s="712" t="s">
        <v>686</v>
      </c>
      <c r="P14" s="713">
        <v>0.5</v>
      </c>
    </row>
    <row r="15" spans="1:16" s="254" customFormat="1" ht="23.25" x14ac:dyDescent="0.25">
      <c r="A15" s="714" t="s">
        <v>710</v>
      </c>
      <c r="B15" s="715"/>
      <c r="C15" s="716"/>
      <c r="D15" s="717"/>
      <c r="E15" s="718" t="s">
        <v>711</v>
      </c>
      <c r="F15" s="718" t="s">
        <v>711</v>
      </c>
      <c r="G15" s="718" t="s">
        <v>711</v>
      </c>
      <c r="H15" s="718" t="s">
        <v>711</v>
      </c>
      <c r="I15" s="718" t="s">
        <v>711</v>
      </c>
      <c r="J15" s="718" t="s">
        <v>711</v>
      </c>
      <c r="K15" s="718" t="s">
        <v>712</v>
      </c>
      <c r="L15" s="718" t="s">
        <v>713</v>
      </c>
      <c r="M15" s="718" t="s">
        <v>713</v>
      </c>
      <c r="N15" s="718" t="s">
        <v>713</v>
      </c>
      <c r="O15" s="718" t="s">
        <v>714</v>
      </c>
      <c r="P15" s="719" t="s">
        <v>715</v>
      </c>
    </row>
    <row r="16" spans="1:16" s="254" customFormat="1" ht="26.25" x14ac:dyDescent="0.25">
      <c r="A16" s="720" t="s">
        <v>1175</v>
      </c>
      <c r="B16" s="721"/>
      <c r="C16" s="721"/>
      <c r="D16" s="721"/>
      <c r="E16" s="721"/>
      <c r="F16" s="721"/>
      <c r="G16" s="721"/>
      <c r="H16" s="721"/>
      <c r="I16" s="721"/>
      <c r="J16" s="721"/>
      <c r="K16" s="721"/>
      <c r="L16" s="721"/>
      <c r="M16" s="721"/>
      <c r="N16" s="721"/>
      <c r="O16" s="721"/>
      <c r="P16" s="722"/>
    </row>
    <row r="17" spans="1:16" s="254" customFormat="1" ht="25.5" x14ac:dyDescent="0.25">
      <c r="A17" s="675" t="s">
        <v>741</v>
      </c>
      <c r="B17" s="676">
        <v>1210</v>
      </c>
      <c r="C17" s="676">
        <v>1150</v>
      </c>
      <c r="D17" s="677" t="s">
        <v>92</v>
      </c>
      <c r="E17" s="678">
        <f>ROUND(355*(1-B79),2)</f>
        <v>355</v>
      </c>
      <c r="F17" s="678" t="s">
        <v>92</v>
      </c>
      <c r="G17" s="678">
        <f>ROUND(588*(1-B79),2)</f>
        <v>588</v>
      </c>
      <c r="H17" s="678" t="s">
        <v>92</v>
      </c>
      <c r="I17" s="678">
        <f>ROUND(370*(1-B79),2)</f>
        <v>370</v>
      </c>
      <c r="J17" s="678">
        <f>G17</f>
        <v>588</v>
      </c>
      <c r="K17" s="678">
        <f>ROUND(382*(1-D79),2)</f>
        <v>382</v>
      </c>
      <c r="L17" s="678">
        <f>ROUND(496*(1-D79),2)</f>
        <v>496</v>
      </c>
      <c r="M17" s="678">
        <f>L17</f>
        <v>496</v>
      </c>
      <c r="N17" s="678">
        <f>ROUND(530*(1-D79),2)</f>
        <v>530</v>
      </c>
      <c r="O17" s="678">
        <f>ROUND(578*(1-E79),2)</f>
        <v>578</v>
      </c>
      <c r="P17" s="679" t="s">
        <v>92</v>
      </c>
    </row>
    <row r="18" spans="1:16" s="254" customFormat="1" ht="25.5" x14ac:dyDescent="0.25">
      <c r="A18" s="723" t="s">
        <v>687</v>
      </c>
      <c r="B18" s="724">
        <v>1180</v>
      </c>
      <c r="C18" s="724">
        <v>1100</v>
      </c>
      <c r="D18" s="725" t="s">
        <v>92</v>
      </c>
      <c r="E18" s="726">
        <f>ROUND(355*(1-B79),2)</f>
        <v>355</v>
      </c>
      <c r="F18" s="726" t="s">
        <v>92</v>
      </c>
      <c r="G18" s="726">
        <f>ROUND(588*(1-B79),2)</f>
        <v>588</v>
      </c>
      <c r="H18" s="726" t="s">
        <v>92</v>
      </c>
      <c r="I18" s="726">
        <f>ROUND(370*(1-B79),2)</f>
        <v>370</v>
      </c>
      <c r="J18" s="726">
        <f t="shared" ref="J18:J42" si="0">G18</f>
        <v>588</v>
      </c>
      <c r="K18" s="726">
        <f>ROUND(382*(1-D79),2)</f>
        <v>382</v>
      </c>
      <c r="L18" s="726">
        <f>ROUND(496*(1-D79),2)</f>
        <v>496</v>
      </c>
      <c r="M18" s="726">
        <f>L18</f>
        <v>496</v>
      </c>
      <c r="N18" s="726">
        <f>ROUND(530*(1-D79),2)</f>
        <v>530</v>
      </c>
      <c r="O18" s="726">
        <f>ROUND(578*(1-E79),2)</f>
        <v>578</v>
      </c>
      <c r="P18" s="727" t="s">
        <v>92</v>
      </c>
    </row>
    <row r="19" spans="1:16" s="254" customFormat="1" ht="25.5" x14ac:dyDescent="0.25">
      <c r="A19" s="675" t="s">
        <v>688</v>
      </c>
      <c r="B19" s="676">
        <v>1200</v>
      </c>
      <c r="C19" s="676">
        <v>1120</v>
      </c>
      <c r="D19" s="677" t="s">
        <v>92</v>
      </c>
      <c r="E19" s="678">
        <f>ROUND(365*(1-B79),2)</f>
        <v>365</v>
      </c>
      <c r="F19" s="678" t="s">
        <v>92</v>
      </c>
      <c r="G19" s="678">
        <f>ROUND(598*(1-B79),2)</f>
        <v>598</v>
      </c>
      <c r="H19" s="678" t="s">
        <v>92</v>
      </c>
      <c r="I19" s="678">
        <f>ROUND(380*(1-B79),2)</f>
        <v>380</v>
      </c>
      <c r="J19" s="678">
        <f t="shared" si="0"/>
        <v>598</v>
      </c>
      <c r="K19" s="678">
        <f>ROUND(392*(1-D79),2)</f>
        <v>392</v>
      </c>
      <c r="L19" s="678">
        <f>ROUND(506*(1-D79),2)</f>
        <v>506</v>
      </c>
      <c r="M19" s="678">
        <f t="shared" ref="M19:M42" si="1">L19</f>
        <v>506</v>
      </c>
      <c r="N19" s="678">
        <f>ROUND(540*(1-D79),2)</f>
        <v>540</v>
      </c>
      <c r="O19" s="678" t="s">
        <v>92</v>
      </c>
      <c r="P19" s="679" t="s">
        <v>92</v>
      </c>
    </row>
    <row r="20" spans="1:16" s="254" customFormat="1" ht="25.5" x14ac:dyDescent="0.25">
      <c r="A20" s="723" t="s">
        <v>689</v>
      </c>
      <c r="B20" s="724">
        <v>625</v>
      </c>
      <c r="C20" s="724">
        <v>550</v>
      </c>
      <c r="D20" s="725" t="s">
        <v>92</v>
      </c>
      <c r="E20" s="726">
        <f>ROUND(353*(1-B79),2)</f>
        <v>353</v>
      </c>
      <c r="F20" s="726" t="s">
        <v>92</v>
      </c>
      <c r="G20" s="726">
        <f>ROUND(565*(1-B79),2)</f>
        <v>565</v>
      </c>
      <c r="H20" s="726" t="s">
        <v>92</v>
      </c>
      <c r="I20" s="726">
        <f>ROUND(371*(1-B79),2)</f>
        <v>371</v>
      </c>
      <c r="J20" s="726">
        <f t="shared" si="0"/>
        <v>565</v>
      </c>
      <c r="K20" s="726">
        <f>ROUND(381*(1-D79),2)</f>
        <v>381</v>
      </c>
      <c r="L20" s="726">
        <f>ROUND(483*(1-D79),2)</f>
        <v>483</v>
      </c>
      <c r="M20" s="726">
        <f t="shared" si="1"/>
        <v>483</v>
      </c>
      <c r="N20" s="726">
        <f>ROUND(513*(1-D79),2)</f>
        <v>513</v>
      </c>
      <c r="O20" s="726">
        <f>ROUND(649*(1-E79),2)</f>
        <v>649</v>
      </c>
      <c r="P20" s="727">
        <f>ROUND(256*(1-I79),2)</f>
        <v>256</v>
      </c>
    </row>
    <row r="21" spans="1:16" s="254" customFormat="1" ht="25.5" x14ac:dyDescent="0.25">
      <c r="A21" s="675" t="s">
        <v>690</v>
      </c>
      <c r="B21" s="676">
        <v>542</v>
      </c>
      <c r="C21" s="676">
        <v>510</v>
      </c>
      <c r="D21" s="677" t="s">
        <v>92</v>
      </c>
      <c r="E21" s="678">
        <f>ROUND(407*(1-B79),2)</f>
        <v>407</v>
      </c>
      <c r="F21" s="678" t="s">
        <v>92</v>
      </c>
      <c r="G21" s="678">
        <f>ROUND(652*(1-B79),2)</f>
        <v>652</v>
      </c>
      <c r="H21" s="678" t="s">
        <v>92</v>
      </c>
      <c r="I21" s="678">
        <f>ROUND(427*(1-B79),2)</f>
        <v>427</v>
      </c>
      <c r="J21" s="678">
        <f t="shared" si="0"/>
        <v>652</v>
      </c>
      <c r="K21" s="678">
        <f>ROUND(439*(1-D79),2)</f>
        <v>439</v>
      </c>
      <c r="L21" s="678">
        <f>ROUND(557*(1-D79),2)</f>
        <v>557</v>
      </c>
      <c r="M21" s="678">
        <f t="shared" si="1"/>
        <v>557</v>
      </c>
      <c r="N21" s="678">
        <f>ROUND(592*(1-D79),2)</f>
        <v>592</v>
      </c>
      <c r="O21" s="678">
        <f>ROUND(659*(1-E79),2)</f>
        <v>659</v>
      </c>
      <c r="P21" s="679" t="s">
        <v>92</v>
      </c>
    </row>
    <row r="22" spans="1:16" s="254" customFormat="1" ht="26.25" x14ac:dyDescent="0.25">
      <c r="A22" s="720" t="s">
        <v>1176</v>
      </c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2"/>
    </row>
    <row r="23" spans="1:16" s="254" customFormat="1" ht="25.5" x14ac:dyDescent="0.25">
      <c r="A23" s="675" t="s">
        <v>691</v>
      </c>
      <c r="B23" s="676">
        <v>1200</v>
      </c>
      <c r="C23" s="676">
        <v>1160</v>
      </c>
      <c r="D23" s="680">
        <v>1</v>
      </c>
      <c r="E23" s="678">
        <f>ROUND(326*(1-B79),2)</f>
        <v>326</v>
      </c>
      <c r="F23" s="678">
        <f>ROUND(359*(1-B79),2)</f>
        <v>359</v>
      </c>
      <c r="G23" s="678">
        <f>ROUND(547*(1-B79),2)</f>
        <v>547</v>
      </c>
      <c r="H23" s="678">
        <f>ROUND(740*(1-B79),2)</f>
        <v>740</v>
      </c>
      <c r="I23" s="678">
        <f>ROUND(344*(1-B79),2)</f>
        <v>344</v>
      </c>
      <c r="J23" s="678">
        <f t="shared" si="0"/>
        <v>547</v>
      </c>
      <c r="K23" s="678">
        <f>ROUND(355*(1-D79),2)</f>
        <v>355</v>
      </c>
      <c r="L23" s="678">
        <f>ROUND(462*(1-D79),2)</f>
        <v>462</v>
      </c>
      <c r="M23" s="678">
        <f t="shared" si="1"/>
        <v>462</v>
      </c>
      <c r="N23" s="678">
        <f>ROUND(493*(1-D79),2)</f>
        <v>493</v>
      </c>
      <c r="O23" s="678">
        <f>ROUND(541*(1-E79),2)</f>
        <v>541</v>
      </c>
      <c r="P23" s="679">
        <f>ROUND(225*(1-I79),2)</f>
        <v>225</v>
      </c>
    </row>
    <row r="24" spans="1:16" s="254" customFormat="1" ht="25.5" x14ac:dyDescent="0.25">
      <c r="A24" s="723" t="s">
        <v>692</v>
      </c>
      <c r="B24" s="724">
        <v>1180</v>
      </c>
      <c r="C24" s="724">
        <v>1150</v>
      </c>
      <c r="D24" s="725">
        <v>1.0169999999999999</v>
      </c>
      <c r="E24" s="726">
        <f>ROUND(334*(1-B79),2)</f>
        <v>334</v>
      </c>
      <c r="F24" s="726">
        <f>ROUND(367*(1-B79),2)</f>
        <v>367</v>
      </c>
      <c r="G24" s="726">
        <f>ROUND(558*(1-B79),2)</f>
        <v>558</v>
      </c>
      <c r="H24" s="726">
        <f>ROUND(755*(1-B79),2)</f>
        <v>755</v>
      </c>
      <c r="I24" s="726">
        <f>ROUND(352*(1-B79),2)</f>
        <v>352</v>
      </c>
      <c r="J24" s="726">
        <f t="shared" si="0"/>
        <v>558</v>
      </c>
      <c r="K24" s="726">
        <f>ROUND(363*(1-D79),2)</f>
        <v>363</v>
      </c>
      <c r="L24" s="726">
        <f>ROUND(472*(1-D79),2)</f>
        <v>472</v>
      </c>
      <c r="M24" s="726">
        <f t="shared" si="1"/>
        <v>472</v>
      </c>
      <c r="N24" s="726">
        <f>ROUND(503*(1-D79),2)</f>
        <v>503</v>
      </c>
      <c r="O24" s="726">
        <f>ROUND(552*(1-E79),2)</f>
        <v>552</v>
      </c>
      <c r="P24" s="727">
        <f>ROUND(231*(1-I79),2)</f>
        <v>231</v>
      </c>
    </row>
    <row r="25" spans="1:16" s="254" customFormat="1" ht="25.5" x14ac:dyDescent="0.25">
      <c r="A25" s="675" t="s">
        <v>693</v>
      </c>
      <c r="B25" s="676">
        <v>1180</v>
      </c>
      <c r="C25" s="676">
        <v>1150</v>
      </c>
      <c r="D25" s="680" t="s">
        <v>92</v>
      </c>
      <c r="E25" s="678">
        <f>ROUND(386*(1-B79),2)</f>
        <v>386</v>
      </c>
      <c r="F25" s="678">
        <f>ROUND(419*(1-B79),2)</f>
        <v>419</v>
      </c>
      <c r="G25" s="678">
        <f>ROUND(610*(1-B79),2)</f>
        <v>610</v>
      </c>
      <c r="H25" s="678">
        <f>ROUND(807*(1-B79),2)</f>
        <v>807</v>
      </c>
      <c r="I25" s="678">
        <f>ROUND(404*(1-B79),2)</f>
        <v>404</v>
      </c>
      <c r="J25" s="678">
        <f t="shared" si="0"/>
        <v>610</v>
      </c>
      <c r="K25" s="678">
        <f>ROUND(415*(1-D79),2)</f>
        <v>415</v>
      </c>
      <c r="L25" s="678">
        <f>ROUND(524*(1-D79),2)</f>
        <v>524</v>
      </c>
      <c r="M25" s="678">
        <f t="shared" si="1"/>
        <v>524</v>
      </c>
      <c r="N25" s="678">
        <f>ROUND(555*(1-D79),2)</f>
        <v>555</v>
      </c>
      <c r="O25" s="678">
        <f>ROUND(604*(1-E79),2)</f>
        <v>604</v>
      </c>
      <c r="P25" s="679">
        <f>ROUND(283*(1-I79),2)</f>
        <v>283</v>
      </c>
    </row>
    <row r="26" spans="1:16" s="254" customFormat="1" ht="25.5" x14ac:dyDescent="0.25">
      <c r="A26" s="723" t="s">
        <v>694</v>
      </c>
      <c r="B26" s="724">
        <v>1150</v>
      </c>
      <c r="C26" s="724">
        <v>1110</v>
      </c>
      <c r="D26" s="725">
        <v>1.0429999999999999</v>
      </c>
      <c r="E26" s="726">
        <f>ROUND(340*(1-B79),2)</f>
        <v>340</v>
      </c>
      <c r="F26" s="726">
        <f>ROUND(375*(1-B79),2)</f>
        <v>375</v>
      </c>
      <c r="G26" s="726">
        <f>ROUND(571*(1-B79),2)</f>
        <v>571</v>
      </c>
      <c r="H26" s="726">
        <f>ROUND(772*(1-B79),2)</f>
        <v>772</v>
      </c>
      <c r="I26" s="726">
        <f>ROUND(359*(1-B79),2)</f>
        <v>359</v>
      </c>
      <c r="J26" s="726">
        <f t="shared" si="0"/>
        <v>571</v>
      </c>
      <c r="K26" s="726">
        <f>ROUND(370*(1-D79),2)</f>
        <v>370</v>
      </c>
      <c r="L26" s="726">
        <f>ROUND(482*(1-D79),2)</f>
        <v>482</v>
      </c>
      <c r="M26" s="726">
        <f t="shared" si="1"/>
        <v>482</v>
      </c>
      <c r="N26" s="726">
        <f>ROUND(514*(1-D79),2)</f>
        <v>514</v>
      </c>
      <c r="O26" s="726">
        <f>ROUND(565*(1-E79),2)</f>
        <v>565</v>
      </c>
      <c r="P26" s="727">
        <f>ROUND(235*(1-I79),2)</f>
        <v>235</v>
      </c>
    </row>
    <row r="27" spans="1:16" s="254" customFormat="1" ht="25.5" x14ac:dyDescent="0.25">
      <c r="A27" s="675" t="s">
        <v>695</v>
      </c>
      <c r="B27" s="676">
        <v>1051</v>
      </c>
      <c r="C27" s="676">
        <v>1000</v>
      </c>
      <c r="D27" s="680">
        <v>1.1419999999999999</v>
      </c>
      <c r="E27" s="678">
        <f>ROUND(372*(1-B79),2)</f>
        <v>372</v>
      </c>
      <c r="F27" s="678">
        <f>ROUND(410*(1-B79),2)</f>
        <v>410</v>
      </c>
      <c r="G27" s="678">
        <f>ROUND(625*(1-B79),2)</f>
        <v>625</v>
      </c>
      <c r="H27" s="678">
        <f>ROUND(845*(1-B79),2)</f>
        <v>845</v>
      </c>
      <c r="I27" s="678">
        <f>ROUND(393*(1-B79),2)</f>
        <v>393</v>
      </c>
      <c r="J27" s="678">
        <f t="shared" si="0"/>
        <v>625</v>
      </c>
      <c r="K27" s="678">
        <f>ROUND(405*(1-D79),2)</f>
        <v>405</v>
      </c>
      <c r="L27" s="678">
        <f>ROUND(528*(1-D79),2)</f>
        <v>528</v>
      </c>
      <c r="M27" s="678">
        <f t="shared" si="1"/>
        <v>528</v>
      </c>
      <c r="N27" s="678">
        <f>ROUND(563*(1-D79),2)</f>
        <v>563</v>
      </c>
      <c r="O27" s="678">
        <f>ROUND(618*(1-E79),2)</f>
        <v>618</v>
      </c>
      <c r="P27" s="679">
        <f>ROUND(257*(1-I79),2)</f>
        <v>257</v>
      </c>
    </row>
    <row r="28" spans="1:16" s="254" customFormat="1" ht="25.5" x14ac:dyDescent="0.25">
      <c r="A28" s="723" t="s">
        <v>696</v>
      </c>
      <c r="B28" s="724">
        <v>1060</v>
      </c>
      <c r="C28" s="724">
        <v>1000</v>
      </c>
      <c r="D28" s="725">
        <v>1.1319999999999999</v>
      </c>
      <c r="E28" s="726">
        <f>ROUND(371*(1-B79),2)</f>
        <v>371</v>
      </c>
      <c r="F28" s="726">
        <f>ROUND(409*(1-B79),2)</f>
        <v>409</v>
      </c>
      <c r="G28" s="726">
        <f>ROUND(624*(1-B79),2)</f>
        <v>624</v>
      </c>
      <c r="H28" s="726">
        <f>ROUND(844*(1-B79),2)</f>
        <v>844</v>
      </c>
      <c r="I28" s="726">
        <f>ROUND(392*(1-B79),2)</f>
        <v>392</v>
      </c>
      <c r="J28" s="726">
        <f t="shared" si="0"/>
        <v>624</v>
      </c>
      <c r="K28" s="726">
        <f>ROUND(404*(1-D79),2)</f>
        <v>404</v>
      </c>
      <c r="L28" s="726">
        <f>ROUND(527*(1-D79),2)</f>
        <v>527</v>
      </c>
      <c r="M28" s="726">
        <f t="shared" si="1"/>
        <v>527</v>
      </c>
      <c r="N28" s="726">
        <f>ROUND(562*(1-D79),2)</f>
        <v>562</v>
      </c>
      <c r="O28" s="726">
        <f>ROUND(617*(1-E79),2)</f>
        <v>617</v>
      </c>
      <c r="P28" s="727">
        <f>ROUND(256*(1-I79),2)</f>
        <v>256</v>
      </c>
    </row>
    <row r="29" spans="1:16" s="254" customFormat="1" ht="25.5" x14ac:dyDescent="0.25">
      <c r="A29" s="675" t="s">
        <v>697</v>
      </c>
      <c r="B29" s="676">
        <v>902</v>
      </c>
      <c r="C29" s="676">
        <v>845</v>
      </c>
      <c r="D29" s="680">
        <v>1.33</v>
      </c>
      <c r="E29" s="678">
        <f>ROUND(434*(1-B79),2)</f>
        <v>434</v>
      </c>
      <c r="F29" s="678">
        <f>ROUND(478*(1-B79),2)</f>
        <v>478</v>
      </c>
      <c r="G29" s="678">
        <f>ROUND(728*(1-B79),2)</f>
        <v>728</v>
      </c>
      <c r="H29" s="678">
        <f>ROUND(985*(1-B79),2)</f>
        <v>985</v>
      </c>
      <c r="I29" s="678">
        <f>ROUND(458*(1-B79),2)</f>
        <v>458</v>
      </c>
      <c r="J29" s="678">
        <f t="shared" si="0"/>
        <v>728</v>
      </c>
      <c r="K29" s="678">
        <f>ROUND(472*(1-D79),2)</f>
        <v>472</v>
      </c>
      <c r="L29" s="678">
        <f>ROUND(615*(1-D79),2)</f>
        <v>615</v>
      </c>
      <c r="M29" s="678">
        <f t="shared" si="1"/>
        <v>615</v>
      </c>
      <c r="N29" s="678">
        <f>ROUND(656*(1-D79),2)</f>
        <v>656</v>
      </c>
      <c r="O29" s="678">
        <f>ROUND(720*(1-E79),2)</f>
        <v>720</v>
      </c>
      <c r="P29" s="679">
        <f>ROUND(299*(1-I79),2)</f>
        <v>299</v>
      </c>
    </row>
    <row r="30" spans="1:16" s="254" customFormat="1" ht="25.5" x14ac:dyDescent="0.25">
      <c r="A30" s="723" t="s">
        <v>706</v>
      </c>
      <c r="B30" s="728">
        <v>625</v>
      </c>
      <c r="C30" s="728" t="s">
        <v>92</v>
      </c>
      <c r="D30" s="729" t="s">
        <v>92</v>
      </c>
      <c r="E30" s="726">
        <f>ROUND(331*(1-B79),2)</f>
        <v>331</v>
      </c>
      <c r="F30" s="726">
        <f>ROUND(364*(1-B79),2)</f>
        <v>364</v>
      </c>
      <c r="G30" s="726">
        <f>ROUND(552*(1-B79),2)</f>
        <v>552</v>
      </c>
      <c r="H30" s="726">
        <f>ROUND(745*(1-B79),2)</f>
        <v>745</v>
      </c>
      <c r="I30" s="726">
        <f>ROUND(349*(1-B79),2)</f>
        <v>349</v>
      </c>
      <c r="J30" s="726">
        <f>G30</f>
        <v>552</v>
      </c>
      <c r="K30" s="726">
        <f>ROUND(360*(1-D79),2)</f>
        <v>360</v>
      </c>
      <c r="L30" s="726">
        <f>ROUND(467*(1-D79),2)</f>
        <v>467</v>
      </c>
      <c r="M30" s="726">
        <f>L30</f>
        <v>467</v>
      </c>
      <c r="N30" s="726">
        <f>ROUND(498*(1-D79),2)</f>
        <v>498</v>
      </c>
      <c r="O30" s="726">
        <f>ROUND(546*(1-E79),2)</f>
        <v>546</v>
      </c>
      <c r="P30" s="727">
        <f>ROUND(230*(1-I81),2)</f>
        <v>230</v>
      </c>
    </row>
    <row r="31" spans="1:16" s="254" customFormat="1" ht="25.5" x14ac:dyDescent="0.25">
      <c r="A31" s="681" t="s">
        <v>707</v>
      </c>
      <c r="B31" s="676" t="s">
        <v>743</v>
      </c>
      <c r="C31" s="676" t="s">
        <v>92</v>
      </c>
      <c r="D31" s="682" t="s">
        <v>92</v>
      </c>
      <c r="E31" s="683">
        <f>ROUND(326*(1-B79),2)</f>
        <v>326</v>
      </c>
      <c r="F31" s="683">
        <f>ROUND(359*(1-B79),2)</f>
        <v>359</v>
      </c>
      <c r="G31" s="683">
        <f>ROUND(547*(1-B79),2)</f>
        <v>547</v>
      </c>
      <c r="H31" s="683">
        <f>ROUND(740*(1-B79),2)</f>
        <v>740</v>
      </c>
      <c r="I31" s="683">
        <f>ROUND(344*(1-B79),2)</f>
        <v>344</v>
      </c>
      <c r="J31" s="683">
        <f>G31</f>
        <v>547</v>
      </c>
      <c r="K31" s="683">
        <f>ROUND(355*(1-D79),2)</f>
        <v>355</v>
      </c>
      <c r="L31" s="683">
        <f>ROUND(462*(1-D79),2)</f>
        <v>462</v>
      </c>
      <c r="M31" s="683">
        <f>L31</f>
        <v>462</v>
      </c>
      <c r="N31" s="683">
        <f>ROUND(493*(1-D79),2)</f>
        <v>493</v>
      </c>
      <c r="O31" s="683">
        <f>ROUND(541*(1-E79),2)</f>
        <v>541</v>
      </c>
      <c r="P31" s="684">
        <f>ROUND(225*(1-I81),2)</f>
        <v>225</v>
      </c>
    </row>
    <row r="32" spans="1:16" s="254" customFormat="1" ht="25.5" x14ac:dyDescent="0.25">
      <c r="A32" s="730" t="s">
        <v>708</v>
      </c>
      <c r="B32" s="724">
        <v>1250</v>
      </c>
      <c r="C32" s="731" t="s">
        <v>92</v>
      </c>
      <c r="D32" s="732">
        <v>1</v>
      </c>
      <c r="E32" s="733">
        <f>ROUND(331*(1-B79),2)</f>
        <v>331</v>
      </c>
      <c r="F32" s="733">
        <f>ROUND(364*(1-B79),2)</f>
        <v>364</v>
      </c>
      <c r="G32" s="733">
        <f>ROUND(552*(1-B79),2)</f>
        <v>552</v>
      </c>
      <c r="H32" s="733">
        <f>ROUND(745*(1-B79),2)</f>
        <v>745</v>
      </c>
      <c r="I32" s="733" t="str">
        <f>ROUND(349*(1-B79),2)&amp;"**"</f>
        <v>349**</v>
      </c>
      <c r="J32" s="733">
        <f>G32</f>
        <v>552</v>
      </c>
      <c r="K32" s="733">
        <f>ROUND(360*(1-D79),2)</f>
        <v>360</v>
      </c>
      <c r="L32" s="733">
        <f>ROUND(467*(1-D79),2)</f>
        <v>467</v>
      </c>
      <c r="M32" s="733">
        <f>L32</f>
        <v>467</v>
      </c>
      <c r="N32" s="733">
        <f>ROUND(498*(1-D79),2)</f>
        <v>498</v>
      </c>
      <c r="O32" s="733">
        <f>ROUND(546*(1-E79),2)</f>
        <v>546</v>
      </c>
      <c r="P32" s="684"/>
    </row>
    <row r="33" spans="1:16" s="254" customFormat="1" ht="26.25" x14ac:dyDescent="0.25">
      <c r="A33" s="720" t="s">
        <v>1177</v>
      </c>
      <c r="B33" s="721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2"/>
    </row>
    <row r="34" spans="1:16" s="254" customFormat="1" ht="25.5" x14ac:dyDescent="0.25">
      <c r="A34" s="675" t="s">
        <v>698</v>
      </c>
      <c r="B34" s="676">
        <v>265</v>
      </c>
      <c r="C34" s="676">
        <v>240</v>
      </c>
      <c r="D34" s="677" t="s">
        <v>92</v>
      </c>
      <c r="E34" s="678">
        <f>ROUND(369*(1-B79),2)</f>
        <v>369</v>
      </c>
      <c r="F34" s="678" t="s">
        <v>92</v>
      </c>
      <c r="G34" s="678">
        <f>ROUND(620*(1-B79),2)</f>
        <v>620</v>
      </c>
      <c r="H34" s="678">
        <f>ROUND(839*(1-B79),2)</f>
        <v>839</v>
      </c>
      <c r="I34" s="678">
        <f>ROUND(390*(1-B79),2)</f>
        <v>390</v>
      </c>
      <c r="J34" s="678">
        <f t="shared" si="0"/>
        <v>620</v>
      </c>
      <c r="K34" s="678">
        <f>ROUND(402*(1-D79),2)</f>
        <v>402</v>
      </c>
      <c r="L34" s="678">
        <f>ROUND(523*(1-D79),2)</f>
        <v>523</v>
      </c>
      <c r="M34" s="678">
        <f t="shared" si="1"/>
        <v>523</v>
      </c>
      <c r="N34" s="678">
        <f>ROUND(558*(1-D79),2)</f>
        <v>558</v>
      </c>
      <c r="O34" s="678">
        <f>ROUND(624*(1-E79),2)</f>
        <v>624</v>
      </c>
      <c r="P34" s="679" t="s">
        <v>92</v>
      </c>
    </row>
    <row r="35" spans="1:16" s="254" customFormat="1" ht="25.5" x14ac:dyDescent="0.25">
      <c r="A35" s="723" t="s">
        <v>699</v>
      </c>
      <c r="B35" s="724">
        <v>200</v>
      </c>
      <c r="C35" s="724">
        <v>176</v>
      </c>
      <c r="D35" s="725" t="s">
        <v>92</v>
      </c>
      <c r="E35" s="726">
        <f>ROUND(390*(1-B79),2)</f>
        <v>390</v>
      </c>
      <c r="F35" s="726" t="s">
        <v>92</v>
      </c>
      <c r="G35" s="726">
        <f>ROUND(656*(1-B79),2)</f>
        <v>656</v>
      </c>
      <c r="H35" s="726">
        <f>ROUND(888*(1-B79),2)</f>
        <v>888</v>
      </c>
      <c r="I35" s="726">
        <f>ROUND(413*(1-B79),2)</f>
        <v>413</v>
      </c>
      <c r="J35" s="726">
        <f t="shared" si="0"/>
        <v>656</v>
      </c>
      <c r="K35" s="726">
        <f>ROUND(426*(1-D79),2)</f>
        <v>426</v>
      </c>
      <c r="L35" s="726">
        <f>ROUND(554*(1-D79),2)</f>
        <v>554</v>
      </c>
      <c r="M35" s="726">
        <f t="shared" si="1"/>
        <v>554</v>
      </c>
      <c r="N35" s="726">
        <f>ROUND(592*(1-D79),2)</f>
        <v>592</v>
      </c>
      <c r="O35" s="726">
        <f>ROUND(638*(1-E79),2)</f>
        <v>638</v>
      </c>
      <c r="P35" s="727" t="s">
        <v>92</v>
      </c>
    </row>
    <row r="36" spans="1:16" s="254" customFormat="1" ht="25.5" x14ac:dyDescent="0.25">
      <c r="A36" s="675" t="s">
        <v>700</v>
      </c>
      <c r="B36" s="676">
        <v>345</v>
      </c>
      <c r="C36" s="676">
        <v>320</v>
      </c>
      <c r="D36" s="677" t="s">
        <v>92</v>
      </c>
      <c r="E36" s="678">
        <f>ROUND(378*(1-B79),2)</f>
        <v>378</v>
      </c>
      <c r="F36" s="678" t="s">
        <v>92</v>
      </c>
      <c r="G36" s="678">
        <f>ROUND(634*(1-B79),2)</f>
        <v>634</v>
      </c>
      <c r="H36" s="678">
        <f>ROUND(858*(1-B79),2)</f>
        <v>858</v>
      </c>
      <c r="I36" s="678">
        <f>ROUND(398*(1-B79),2)</f>
        <v>398</v>
      </c>
      <c r="J36" s="678">
        <f t="shared" si="0"/>
        <v>634</v>
      </c>
      <c r="K36" s="678">
        <f>ROUND(498*(1-D79),2)</f>
        <v>498</v>
      </c>
      <c r="L36" s="678">
        <f>ROUND(535*(1-D79),2)</f>
        <v>535</v>
      </c>
      <c r="M36" s="678">
        <f t="shared" si="1"/>
        <v>535</v>
      </c>
      <c r="N36" s="678" t="s">
        <v>92</v>
      </c>
      <c r="O36" s="678">
        <f>ROUND(673*(1-E79),2)</f>
        <v>673</v>
      </c>
      <c r="P36" s="679" t="s">
        <v>92</v>
      </c>
    </row>
    <row r="37" spans="1:16" s="254" customFormat="1" ht="25.5" x14ac:dyDescent="0.25">
      <c r="A37" s="723" t="s">
        <v>701</v>
      </c>
      <c r="B37" s="724">
        <v>390</v>
      </c>
      <c r="C37" s="724">
        <v>360</v>
      </c>
      <c r="D37" s="725" t="s">
        <v>92</v>
      </c>
      <c r="E37" s="726">
        <f>ROUND(378*(1-B79),2)</f>
        <v>378</v>
      </c>
      <c r="F37" s="726" t="s">
        <v>92</v>
      </c>
      <c r="G37" s="726">
        <f>ROUND(634*(1-B79),2)</f>
        <v>634</v>
      </c>
      <c r="H37" s="726">
        <f>ROUND(858*(1-B79),2)</f>
        <v>858</v>
      </c>
      <c r="I37" s="726" t="s">
        <v>92</v>
      </c>
      <c r="J37" s="726">
        <f t="shared" si="0"/>
        <v>634</v>
      </c>
      <c r="K37" s="726">
        <f>ROUND(498*(1-D79),2)</f>
        <v>498</v>
      </c>
      <c r="L37" s="726">
        <f>ROUND(535*(1-D79),2)</f>
        <v>535</v>
      </c>
      <c r="M37" s="726">
        <f t="shared" si="1"/>
        <v>535</v>
      </c>
      <c r="N37" s="726" t="s">
        <v>92</v>
      </c>
      <c r="O37" s="726" t="s">
        <v>92</v>
      </c>
      <c r="P37" s="727" t="s">
        <v>92</v>
      </c>
    </row>
    <row r="38" spans="1:16" s="254" customFormat="1" ht="26.25" x14ac:dyDescent="0.25">
      <c r="A38" s="720" t="s">
        <v>1178</v>
      </c>
      <c r="B38" s="721"/>
      <c r="C38" s="721"/>
      <c r="D38" s="721"/>
      <c r="E38" s="721"/>
      <c r="F38" s="721"/>
      <c r="G38" s="721"/>
      <c r="H38" s="721"/>
      <c r="I38" s="721"/>
      <c r="J38" s="721"/>
      <c r="K38" s="721"/>
      <c r="L38" s="721"/>
      <c r="M38" s="721"/>
      <c r="N38" s="721"/>
      <c r="O38" s="721"/>
      <c r="P38" s="722"/>
    </row>
    <row r="39" spans="1:16" s="254" customFormat="1" ht="25.5" x14ac:dyDescent="0.25">
      <c r="A39" s="675" t="s">
        <v>702</v>
      </c>
      <c r="B39" s="676">
        <v>100</v>
      </c>
      <c r="C39" s="676" t="s">
        <v>92</v>
      </c>
      <c r="D39" s="677" t="s">
        <v>92</v>
      </c>
      <c r="E39" s="678">
        <f>ROUND(65*(1-B79),2)</f>
        <v>65</v>
      </c>
      <c r="F39" s="678">
        <f>ROUND(70*(1-B79),2)</f>
        <v>70</v>
      </c>
      <c r="G39" s="678">
        <f>ROUND(112*(1-B79),2)</f>
        <v>112</v>
      </c>
      <c r="H39" s="678">
        <f>ROUND(148*(1-B79),2)</f>
        <v>148</v>
      </c>
      <c r="I39" s="678">
        <f>ROUND(71*(1-B79),2)</f>
        <v>71</v>
      </c>
      <c r="J39" s="678">
        <f t="shared" si="0"/>
        <v>112</v>
      </c>
      <c r="K39" s="678">
        <f>ROUND(79*(1-D79),2)</f>
        <v>79</v>
      </c>
      <c r="L39" s="678">
        <f>ROUND(85*(1-D79),2)</f>
        <v>85</v>
      </c>
      <c r="M39" s="678">
        <f t="shared" si="1"/>
        <v>85</v>
      </c>
      <c r="N39" s="678">
        <f>ROUND(90*(1-D79),2)</f>
        <v>90</v>
      </c>
      <c r="O39" s="678" t="s">
        <v>92</v>
      </c>
      <c r="P39" s="679" t="s">
        <v>92</v>
      </c>
    </row>
    <row r="40" spans="1:16" s="254" customFormat="1" ht="25.5" x14ac:dyDescent="0.25">
      <c r="A40" s="723" t="s">
        <v>703</v>
      </c>
      <c r="B40" s="724">
        <v>100</v>
      </c>
      <c r="C40" s="724" t="s">
        <v>92</v>
      </c>
      <c r="D40" s="725" t="s">
        <v>92</v>
      </c>
      <c r="E40" s="726">
        <f>ROUND(65*(1-B79),2)</f>
        <v>65</v>
      </c>
      <c r="F40" s="726">
        <f>ROUND(70*(1-B79),2)</f>
        <v>70</v>
      </c>
      <c r="G40" s="726">
        <f>ROUND(112*(1-B79),2)</f>
        <v>112</v>
      </c>
      <c r="H40" s="726">
        <f>ROUND(148*(1-B79),2)</f>
        <v>148</v>
      </c>
      <c r="I40" s="726">
        <f>ROUND(71*(1-B79),2)</f>
        <v>71</v>
      </c>
      <c r="J40" s="726">
        <f t="shared" si="0"/>
        <v>112</v>
      </c>
      <c r="K40" s="726">
        <f>ROUND(79*(1-D79),2)</f>
        <v>79</v>
      </c>
      <c r="L40" s="726">
        <f>ROUND(85*(1-D79),2)</f>
        <v>85</v>
      </c>
      <c r="M40" s="726">
        <f t="shared" si="1"/>
        <v>85</v>
      </c>
      <c r="N40" s="726">
        <f>ROUND(90*(1-D79),2)</f>
        <v>90</v>
      </c>
      <c r="O40" s="726" t="s">
        <v>92</v>
      </c>
      <c r="P40" s="727" t="s">
        <v>92</v>
      </c>
    </row>
    <row r="41" spans="1:16" s="254" customFormat="1" ht="25.5" x14ac:dyDescent="0.25">
      <c r="A41" s="675" t="s">
        <v>704</v>
      </c>
      <c r="B41" s="676">
        <v>100</v>
      </c>
      <c r="C41" s="676" t="s">
        <v>92</v>
      </c>
      <c r="D41" s="677" t="s">
        <v>92</v>
      </c>
      <c r="E41" s="678">
        <f>ROUND(68*(1-B79),2)</f>
        <v>68</v>
      </c>
      <c r="F41" s="678">
        <f>ROUND(73*(1-B79),2)</f>
        <v>73</v>
      </c>
      <c r="G41" s="678">
        <f>ROUND(115*(1-B79),2)</f>
        <v>115</v>
      </c>
      <c r="H41" s="678">
        <f>ROUND(151*(1-B79),2)</f>
        <v>151</v>
      </c>
      <c r="I41" s="678">
        <f>ROUND(74*(1-B79),2)</f>
        <v>74</v>
      </c>
      <c r="J41" s="678">
        <f t="shared" si="0"/>
        <v>115</v>
      </c>
      <c r="K41" s="678">
        <f>ROUND(82*(1-D79),2)</f>
        <v>82</v>
      </c>
      <c r="L41" s="678">
        <f>ROUND(88*(1-D79),2)</f>
        <v>88</v>
      </c>
      <c r="M41" s="678">
        <f t="shared" si="1"/>
        <v>88</v>
      </c>
      <c r="N41" s="678">
        <f>ROUND(93*(1-D79),2)</f>
        <v>93</v>
      </c>
      <c r="O41" s="678" t="s">
        <v>92</v>
      </c>
      <c r="P41" s="679" t="s">
        <v>92</v>
      </c>
    </row>
    <row r="42" spans="1:16" s="254" customFormat="1" ht="25.5" x14ac:dyDescent="0.25">
      <c r="A42" s="723" t="s">
        <v>705</v>
      </c>
      <c r="B42" s="724">
        <v>100</v>
      </c>
      <c r="C42" s="724" t="s">
        <v>92</v>
      </c>
      <c r="D42" s="725" t="s">
        <v>92</v>
      </c>
      <c r="E42" s="726">
        <f>ROUND(68*(1-B79),2)</f>
        <v>68</v>
      </c>
      <c r="F42" s="726">
        <f>ROUND(73*(1-B79),2)</f>
        <v>73</v>
      </c>
      <c r="G42" s="726">
        <f>ROUND(115*(1-B79),2)</f>
        <v>115</v>
      </c>
      <c r="H42" s="726">
        <f>ROUND(151*(1-B79),2)</f>
        <v>151</v>
      </c>
      <c r="I42" s="726">
        <f>ROUND(74*(1-B79),2)</f>
        <v>74</v>
      </c>
      <c r="J42" s="726">
        <f t="shared" si="0"/>
        <v>115</v>
      </c>
      <c r="K42" s="726">
        <f>ROUND(82*(1-D79),2)</f>
        <v>82</v>
      </c>
      <c r="L42" s="726">
        <f>ROUND(88*(1-D79),2)</f>
        <v>88</v>
      </c>
      <c r="M42" s="726">
        <f t="shared" si="1"/>
        <v>88</v>
      </c>
      <c r="N42" s="726">
        <f>ROUND(93*(1-D79),2)</f>
        <v>93</v>
      </c>
      <c r="O42" s="726" t="s">
        <v>92</v>
      </c>
      <c r="P42" s="727" t="s">
        <v>92</v>
      </c>
    </row>
    <row r="43" spans="1:16" s="254" customFormat="1" ht="26.25" x14ac:dyDescent="0.25">
      <c r="A43" s="720" t="s">
        <v>1179</v>
      </c>
      <c r="B43" s="721"/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2"/>
    </row>
    <row r="44" spans="1:16" s="254" customFormat="1" ht="51" customHeight="1" x14ac:dyDescent="0.25">
      <c r="A44" s="685" t="s">
        <v>709</v>
      </c>
      <c r="B44" s="686" t="s">
        <v>1180</v>
      </c>
      <c r="C44" s="687"/>
      <c r="D44" s="688"/>
      <c r="E44" s="689">
        <v>160</v>
      </c>
      <c r="F44" s="690"/>
      <c r="G44" s="690"/>
      <c r="H44" s="690"/>
      <c r="I44" s="690"/>
      <c r="J44" s="690"/>
      <c r="K44" s="690"/>
      <c r="L44" s="690"/>
      <c r="M44" s="690"/>
      <c r="N44" s="690"/>
      <c r="O44" s="690"/>
      <c r="P44" s="691"/>
    </row>
    <row r="45" spans="1:16" s="254" customFormat="1" ht="25.5" x14ac:dyDescent="0.25">
      <c r="A45" s="734" t="s">
        <v>1181</v>
      </c>
      <c r="B45" s="735" t="s">
        <v>92</v>
      </c>
      <c r="C45" s="736"/>
      <c r="D45" s="737"/>
      <c r="E45" s="738">
        <v>15</v>
      </c>
      <c r="F45" s="739"/>
      <c r="G45" s="739"/>
      <c r="H45" s="739"/>
      <c r="I45" s="739"/>
      <c r="J45" s="739"/>
      <c r="K45" s="739"/>
      <c r="L45" s="739"/>
      <c r="M45" s="739"/>
      <c r="N45" s="739"/>
      <c r="O45" s="739"/>
      <c r="P45" s="740"/>
    </row>
    <row r="46" spans="1:16" s="254" customFormat="1" ht="20.25" x14ac:dyDescent="0.25"/>
    <row r="47" spans="1:16" s="263" customFormat="1" ht="23.25" x14ac:dyDescent="0.25">
      <c r="A47" s="256" t="s">
        <v>716</v>
      </c>
      <c r="B47" s="256"/>
      <c r="C47" s="256"/>
      <c r="D47" s="256"/>
      <c r="E47" s="256"/>
      <c r="F47" s="692"/>
      <c r="G47" s="692"/>
      <c r="H47" s="692"/>
      <c r="I47" s="692"/>
      <c r="J47" s="693"/>
      <c r="K47" s="741" t="s">
        <v>717</v>
      </c>
      <c r="L47" s="741"/>
      <c r="M47" s="741"/>
      <c r="N47" s="741"/>
      <c r="O47" s="742"/>
      <c r="P47" s="428"/>
    </row>
    <row r="48" spans="1:16" s="263" customFormat="1" ht="23.25" x14ac:dyDescent="0.25">
      <c r="A48" s="256" t="s">
        <v>720</v>
      </c>
      <c r="B48" s="258"/>
      <c r="C48" s="258"/>
      <c r="D48" s="258"/>
      <c r="E48" s="258"/>
      <c r="F48" s="692"/>
      <c r="G48" s="692"/>
      <c r="H48" s="692"/>
      <c r="I48" s="692"/>
      <c r="J48" s="694"/>
      <c r="K48" s="695" t="s">
        <v>718</v>
      </c>
      <c r="L48" s="695"/>
      <c r="M48" s="695"/>
      <c r="N48" s="696"/>
      <c r="O48" s="624" t="s">
        <v>719</v>
      </c>
      <c r="P48" s="625"/>
    </row>
    <row r="49" spans="1:16" s="263" customFormat="1" ht="20.25" x14ac:dyDescent="0.25">
      <c r="A49" s="256" t="s">
        <v>742</v>
      </c>
      <c r="B49" s="259"/>
      <c r="C49" s="259"/>
      <c r="D49" s="259"/>
      <c r="E49" s="259"/>
      <c r="F49" s="254"/>
      <c r="G49" s="254"/>
      <c r="H49" s="254"/>
      <c r="I49" s="254"/>
      <c r="J49" s="694"/>
      <c r="K49" s="695" t="s">
        <v>721</v>
      </c>
      <c r="L49" s="695"/>
      <c r="M49" s="695"/>
      <c r="N49" s="696"/>
      <c r="O49" s="624" t="s">
        <v>722</v>
      </c>
      <c r="P49" s="625"/>
    </row>
    <row r="50" spans="1:16" s="263" customFormat="1" ht="20.25" x14ac:dyDescent="0.25">
      <c r="A50" s="254"/>
      <c r="B50" s="256"/>
      <c r="C50" s="256"/>
      <c r="D50" s="256"/>
      <c r="E50" s="256"/>
      <c r="F50" s="254"/>
      <c r="G50" s="254"/>
      <c r="H50" s="254"/>
      <c r="I50" s="254"/>
      <c r="J50" s="694"/>
      <c r="K50" s="695" t="s">
        <v>723</v>
      </c>
      <c r="L50" s="695"/>
      <c r="M50" s="695"/>
      <c r="N50" s="696"/>
      <c r="O50" s="624" t="s">
        <v>724</v>
      </c>
      <c r="P50" s="625"/>
    </row>
    <row r="51" spans="1:16" s="263" customFormat="1" ht="20.25" x14ac:dyDescent="0.25">
      <c r="A51" s="256" t="s">
        <v>733</v>
      </c>
      <c r="B51" s="256"/>
      <c r="C51" s="256"/>
      <c r="D51" s="256"/>
      <c r="E51" s="256"/>
      <c r="F51" s="254"/>
      <c r="G51" s="254"/>
      <c r="H51" s="254"/>
      <c r="I51" s="254"/>
      <c r="J51" s="694"/>
      <c r="K51" s="695" t="s">
        <v>726</v>
      </c>
      <c r="L51" s="695"/>
      <c r="M51" s="695"/>
      <c r="N51" s="696"/>
      <c r="O51" s="624" t="s">
        <v>727</v>
      </c>
      <c r="P51" s="625"/>
    </row>
    <row r="52" spans="1:16" s="263" customFormat="1" ht="20.25" x14ac:dyDescent="0.25">
      <c r="A52" s="261" t="s">
        <v>736</v>
      </c>
      <c r="B52" s="259"/>
      <c r="C52" s="259"/>
      <c r="D52" s="259"/>
      <c r="E52" s="259"/>
      <c r="F52" s="254"/>
      <c r="G52" s="254"/>
      <c r="H52" s="254"/>
      <c r="I52" s="254"/>
      <c r="J52" s="260"/>
      <c r="K52" s="260"/>
      <c r="L52" s="260"/>
      <c r="M52" s="260"/>
      <c r="N52" s="260"/>
      <c r="O52" s="260"/>
      <c r="P52" s="260"/>
    </row>
    <row r="53" spans="1:16" s="263" customFormat="1" ht="20.25" x14ac:dyDescent="0.25">
      <c r="A53" s="256" t="s">
        <v>725</v>
      </c>
      <c r="B53" s="256"/>
      <c r="C53" s="256"/>
      <c r="D53" s="256"/>
      <c r="E53" s="256"/>
      <c r="F53" s="254"/>
      <c r="G53" s="254"/>
      <c r="H53" s="254"/>
      <c r="I53" s="254"/>
      <c r="J53" s="254"/>
      <c r="K53" s="254" t="s">
        <v>729</v>
      </c>
      <c r="L53" s="254"/>
      <c r="M53" s="254"/>
      <c r="N53" s="254"/>
      <c r="O53" s="254"/>
      <c r="P53" s="254"/>
    </row>
    <row r="54" spans="1:16" s="263" customFormat="1" ht="20.25" x14ac:dyDescent="0.25">
      <c r="A54" s="256" t="s">
        <v>728</v>
      </c>
      <c r="B54" s="256"/>
      <c r="C54" s="256"/>
      <c r="D54" s="256"/>
      <c r="E54" s="256"/>
      <c r="F54" s="254"/>
      <c r="G54" s="254"/>
      <c r="H54" s="254"/>
      <c r="I54" s="254"/>
      <c r="J54" s="697"/>
      <c r="K54" s="743" t="s">
        <v>730</v>
      </c>
      <c r="L54" s="743"/>
      <c r="M54" s="743"/>
      <c r="N54" s="427" t="s">
        <v>731</v>
      </c>
      <c r="O54" s="616" t="s">
        <v>732</v>
      </c>
      <c r="P54" s="617"/>
    </row>
    <row r="55" spans="1:16" s="263" customFormat="1" ht="20.25" x14ac:dyDescent="0.25">
      <c r="A55" s="254"/>
      <c r="B55" s="256"/>
      <c r="C55" s="256"/>
      <c r="D55" s="256"/>
      <c r="E55" s="256"/>
      <c r="F55" s="254"/>
      <c r="G55" s="254"/>
      <c r="H55" s="254"/>
      <c r="I55" s="254"/>
      <c r="J55" s="257"/>
      <c r="K55" s="698" t="s">
        <v>734</v>
      </c>
      <c r="L55" s="698"/>
      <c r="M55" s="698"/>
      <c r="N55" s="429">
        <v>0.7</v>
      </c>
      <c r="O55" s="618" t="s">
        <v>735</v>
      </c>
      <c r="P55" s="619"/>
    </row>
    <row r="56" spans="1:16" s="263" customFormat="1" ht="20.25" x14ac:dyDescent="0.25">
      <c r="A56" s="261" t="s">
        <v>1182</v>
      </c>
      <c r="B56" s="256"/>
      <c r="C56" s="256"/>
      <c r="D56" s="256"/>
      <c r="E56" s="256"/>
      <c r="F56" s="254"/>
      <c r="G56" s="254"/>
      <c r="H56" s="254"/>
      <c r="I56" s="254"/>
      <c r="J56" s="257"/>
      <c r="K56" s="698" t="s">
        <v>737</v>
      </c>
      <c r="L56" s="698"/>
      <c r="M56" s="698"/>
      <c r="N56" s="429">
        <v>0.3</v>
      </c>
      <c r="O56" s="620"/>
      <c r="P56" s="621"/>
    </row>
    <row r="57" spans="1:16" s="263" customFormat="1" ht="20.25" x14ac:dyDescent="0.25">
      <c r="A57" s="256" t="s">
        <v>1183</v>
      </c>
      <c r="B57" s="259"/>
      <c r="C57" s="259"/>
      <c r="D57" s="259"/>
      <c r="E57" s="259"/>
      <c r="F57" s="254"/>
      <c r="G57" s="254"/>
      <c r="H57" s="254"/>
      <c r="I57" s="254"/>
      <c r="J57" s="257"/>
      <c r="K57" s="698" t="s">
        <v>738</v>
      </c>
      <c r="L57" s="698"/>
      <c r="M57" s="698"/>
      <c r="N57" s="429">
        <v>0.15</v>
      </c>
      <c r="O57" s="622"/>
      <c r="P57" s="623"/>
    </row>
    <row r="58" spans="1:16" s="263" customFormat="1" ht="20.25" x14ac:dyDescent="0.25">
      <c r="A58" s="254" t="s">
        <v>1184</v>
      </c>
      <c r="B58" s="259"/>
      <c r="C58" s="259"/>
      <c r="D58" s="259"/>
      <c r="E58" s="259"/>
      <c r="F58" s="254"/>
      <c r="G58" s="254"/>
      <c r="H58" s="254"/>
      <c r="I58" s="254"/>
      <c r="J58" s="257"/>
      <c r="K58" s="698" t="s">
        <v>739</v>
      </c>
      <c r="L58" s="698"/>
      <c r="M58" s="698"/>
      <c r="N58" s="430" t="s">
        <v>740</v>
      </c>
      <c r="O58" s="614" t="s">
        <v>1185</v>
      </c>
      <c r="P58" s="615"/>
    </row>
    <row r="59" spans="1:16" s="263" customFormat="1" ht="20.25" x14ac:dyDescent="0.25">
      <c r="A59" s="256" t="s">
        <v>1186</v>
      </c>
      <c r="B59" s="259"/>
      <c r="C59" s="259"/>
      <c r="D59" s="259"/>
      <c r="E59" s="259"/>
      <c r="F59" s="254"/>
      <c r="G59" s="254"/>
      <c r="H59" s="254"/>
      <c r="I59" s="254"/>
      <c r="J59" s="254"/>
      <c r="K59" s="699"/>
      <c r="L59" s="699"/>
      <c r="M59" s="700"/>
      <c r="N59" s="700"/>
      <c r="O59" s="701"/>
      <c r="P59" s="701"/>
    </row>
    <row r="60" spans="1:16" s="263" customFormat="1" ht="20.25" x14ac:dyDescent="0.25">
      <c r="A60" s="254"/>
      <c r="B60" s="254"/>
      <c r="C60" s="254"/>
      <c r="D60" s="254"/>
      <c r="E60" s="254"/>
      <c r="F60" s="254"/>
      <c r="G60" s="254"/>
      <c r="H60" s="254"/>
      <c r="I60" s="254"/>
      <c r="J60" s="254"/>
      <c r="K60" s="256" t="s">
        <v>1187</v>
      </c>
      <c r="L60" s="254"/>
      <c r="M60" s="254"/>
      <c r="N60" s="254"/>
      <c r="O60" s="700"/>
      <c r="P60" s="700"/>
    </row>
    <row r="61" spans="1:16" s="263" customFormat="1" ht="20.25" x14ac:dyDescent="0.25">
      <c r="A61" s="254" t="s">
        <v>1188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6" t="s">
        <v>1189</v>
      </c>
      <c r="L61" s="254"/>
      <c r="M61" s="254"/>
      <c r="N61" s="254"/>
      <c r="O61" s="700"/>
      <c r="P61" s="700"/>
    </row>
    <row r="62" spans="1:16" s="263" customFormat="1" ht="20.25" x14ac:dyDescent="0.25">
      <c r="A62" s="254" t="s">
        <v>1190</v>
      </c>
      <c r="B62" s="254"/>
      <c r="C62" s="254"/>
      <c r="D62" s="254"/>
      <c r="E62" s="254"/>
      <c r="F62" s="259"/>
      <c r="G62" s="254"/>
      <c r="H62" s="254"/>
      <c r="I62" s="254"/>
      <c r="J62" s="254"/>
      <c r="K62" s="254"/>
      <c r="L62" s="254"/>
      <c r="M62" s="254"/>
      <c r="N62" s="700"/>
      <c r="O62" s="700"/>
      <c r="P62" s="700"/>
    </row>
    <row r="63" spans="1:16" s="263" customFormat="1" ht="20.25" x14ac:dyDescent="0.25">
      <c r="A63" s="254"/>
      <c r="B63" s="254"/>
      <c r="C63" s="254"/>
      <c r="D63" s="254"/>
      <c r="E63" s="254"/>
      <c r="F63" s="254"/>
      <c r="G63" s="254"/>
      <c r="H63" s="254"/>
      <c r="I63" s="254"/>
      <c r="J63" s="254"/>
      <c r="K63" s="262" t="s">
        <v>744</v>
      </c>
      <c r="L63" s="254"/>
      <c r="M63" s="700"/>
      <c r="N63" s="700"/>
      <c r="O63" s="700"/>
      <c r="P63" s="700"/>
    </row>
    <row r="64" spans="1:16" s="263" customFormat="1" ht="20.25" x14ac:dyDescent="0.25">
      <c r="A64" s="254"/>
      <c r="B64" s="254"/>
      <c r="C64" s="254"/>
      <c r="D64" s="254"/>
      <c r="E64" s="254"/>
      <c r="F64" s="254"/>
      <c r="G64" s="254"/>
      <c r="H64" s="254"/>
      <c r="I64" s="254"/>
      <c r="J64" s="254"/>
      <c r="K64" s="262" t="s">
        <v>1191</v>
      </c>
      <c r="L64" s="254"/>
      <c r="M64" s="700"/>
      <c r="N64" s="254"/>
      <c r="O64" s="700"/>
      <c r="P64" s="700"/>
    </row>
    <row r="65" spans="1:16" s="263" customFormat="1" ht="20.25" x14ac:dyDescent="0.25">
      <c r="A65" s="254"/>
      <c r="B65" s="254"/>
      <c r="C65" s="254"/>
      <c r="D65" s="254"/>
      <c r="E65" s="254"/>
      <c r="F65" s="254"/>
      <c r="G65" s="254"/>
      <c r="H65" s="254"/>
      <c r="I65" s="254"/>
      <c r="J65" s="254"/>
      <c r="K65" s="262" t="s">
        <v>1192</v>
      </c>
      <c r="L65" s="254"/>
      <c r="M65" s="700"/>
      <c r="N65" s="254"/>
      <c r="O65" s="700"/>
      <c r="P65" s="700"/>
    </row>
    <row r="66" spans="1:16" s="263" customFormat="1" x14ac:dyDescent="0.25"/>
    <row r="67" spans="1:16" s="263" customFormat="1" x14ac:dyDescent="0.25"/>
    <row r="68" spans="1:16" s="263" customFormat="1" x14ac:dyDescent="0.25"/>
    <row r="69" spans="1:16" s="263" customFormat="1" x14ac:dyDescent="0.25"/>
    <row r="70" spans="1:16" s="263" customFormat="1" x14ac:dyDescent="0.25"/>
    <row r="71" spans="1:16" s="263" customFormat="1" x14ac:dyDescent="0.25"/>
    <row r="72" spans="1:16" s="263" customFormat="1" x14ac:dyDescent="0.25"/>
    <row r="73" spans="1:16" s="263" customFormat="1" x14ac:dyDescent="0.25"/>
    <row r="74" spans="1:16" s="263" customFormat="1" x14ac:dyDescent="0.25"/>
    <row r="75" spans="1:16" s="263" customFormat="1" x14ac:dyDescent="0.25"/>
    <row r="76" spans="1:16" s="263" customFormat="1" x14ac:dyDescent="0.25"/>
    <row r="77" spans="1:16" s="263" customFormat="1" x14ac:dyDescent="0.25"/>
    <row r="78" spans="1:16" s="263" customFormat="1" x14ac:dyDescent="0.25"/>
    <row r="79" spans="1:16" s="263" customFormat="1" x14ac:dyDescent="0.25"/>
    <row r="80" spans="1:16" s="263" customFormat="1" x14ac:dyDescent="0.25"/>
    <row r="81" s="263" customFormat="1" x14ac:dyDescent="0.25"/>
    <row r="82" s="263" customFormat="1" x14ac:dyDescent="0.25"/>
    <row r="83" s="263" customFormat="1" x14ac:dyDescent="0.25"/>
    <row r="84" s="263" customFormat="1" x14ac:dyDescent="0.25"/>
    <row r="85" s="263" customFormat="1" x14ac:dyDescent="0.25"/>
    <row r="86" s="263" customFormat="1" x14ac:dyDescent="0.25"/>
    <row r="87" s="263" customFormat="1" x14ac:dyDescent="0.25"/>
    <row r="88" s="263" customFormat="1" x14ac:dyDescent="0.25"/>
    <row r="89" s="263" customFormat="1" x14ac:dyDescent="0.25"/>
    <row r="90" s="263" customFormat="1" x14ac:dyDescent="0.25"/>
    <row r="91" s="263" customFormat="1" x14ac:dyDescent="0.25"/>
    <row r="92" s="263" customFormat="1" x14ac:dyDescent="0.25"/>
    <row r="93" s="263" customFormat="1" x14ac:dyDescent="0.25"/>
  </sheetData>
  <mergeCells count="39">
    <mergeCell ref="B8:M8"/>
    <mergeCell ref="K56:M56"/>
    <mergeCell ref="K57:M57"/>
    <mergeCell ref="K58:M58"/>
    <mergeCell ref="O58:P58"/>
    <mergeCell ref="O59:P59"/>
    <mergeCell ref="B45:D45"/>
    <mergeCell ref="E45:P45"/>
    <mergeCell ref="K47:N47"/>
    <mergeCell ref="K48:N48"/>
    <mergeCell ref="O48:P48"/>
    <mergeCell ref="A33:P33"/>
    <mergeCell ref="A38:P38"/>
    <mergeCell ref="A43:P43"/>
    <mergeCell ref="B44:D44"/>
    <mergeCell ref="E44:P44"/>
    <mergeCell ref="A14:C14"/>
    <mergeCell ref="A15:C15"/>
    <mergeCell ref="A16:P16"/>
    <mergeCell ref="A22:P22"/>
    <mergeCell ref="P31:P32"/>
    <mergeCell ref="C11:C13"/>
    <mergeCell ref="D11:D13"/>
    <mergeCell ref="E11:P11"/>
    <mergeCell ref="E12:J12"/>
    <mergeCell ref="K12:O12"/>
    <mergeCell ref="P12:P13"/>
    <mergeCell ref="A11:A13"/>
    <mergeCell ref="B11:B13"/>
    <mergeCell ref="K49:N49"/>
    <mergeCell ref="O49:P49"/>
    <mergeCell ref="K50:N50"/>
    <mergeCell ref="O50:P50"/>
    <mergeCell ref="K51:N51"/>
    <mergeCell ref="O51:P51"/>
    <mergeCell ref="K54:M54"/>
    <mergeCell ref="O54:P54"/>
    <mergeCell ref="K55:M55"/>
    <mergeCell ref="O55:P57"/>
  </mergeCells>
  <hyperlinks>
    <hyperlink ref="B7" location="Общий!A1" display="на главную"/>
  </hyperlinks>
  <pageMargins left="0.70866141732283472" right="0.70866141732283472" top="0.74803149606299213" bottom="0.74803149606299213" header="0.31496062992125984" footer="0.31496062992125984"/>
  <pageSetup paperSize="9" scale="2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Общий</vt:lpstr>
      <vt:lpstr>Ytong</vt:lpstr>
      <vt:lpstr>El-Block</vt:lpstr>
      <vt:lpstr>ЭКО</vt:lpstr>
      <vt:lpstr>ЕЗСМ</vt:lpstr>
      <vt:lpstr>BRAER</vt:lpstr>
      <vt:lpstr>Wienerberger</vt:lpstr>
      <vt:lpstr>Виниловый сайдинг GL</vt:lpstr>
      <vt:lpstr>Метал. сайдинг GL</vt:lpstr>
      <vt:lpstr>ШФ CERESIT</vt:lpstr>
      <vt:lpstr>ШФ WEBER</vt:lpstr>
      <vt:lpstr>White Hills</vt:lpstr>
      <vt:lpstr>PEREL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Руслан</dc:creator>
  <cp:lastModifiedBy>Хромихин Павел Александрович</cp:lastModifiedBy>
  <cp:lastPrinted>2015-05-20T06:21:26Z</cp:lastPrinted>
  <dcterms:created xsi:type="dcterms:W3CDTF">2015-01-27T22:24:37Z</dcterms:created>
  <dcterms:modified xsi:type="dcterms:W3CDTF">2015-06-16T11:38:31Z</dcterms:modified>
</cp:coreProperties>
</file>